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fy7pn\Documents\Datasheets\ON\automotive\PWM\NCV8873\iMIT\"/>
    </mc:Choice>
  </mc:AlternateContent>
  <workbookProtection workbookPassword="F725" lockStructure="1"/>
  <bookViews>
    <workbookView xWindow="240" yWindow="105" windowWidth="14805" windowHeight="8010"/>
  </bookViews>
  <sheets>
    <sheet name="1. Introduction" sheetId="1" r:id="rId1"/>
    <sheet name="2. Design Parameters" sheetId="2" r:id="rId2"/>
    <sheet name="3. Feedback Resistors" sheetId="3" r:id="rId3"/>
    <sheet name="4. Boost Inductor" sheetId="4" r:id="rId4"/>
    <sheet name="5. Current Sense Resistor" sheetId="5" r:id="rId5"/>
    <sheet name="6. Output Capacitors" sheetId="6" r:id="rId6"/>
    <sheet name="Input Capacitor" sheetId="7" state="hidden" r:id="rId7"/>
    <sheet name="7. Diode" sheetId="8" r:id="rId8"/>
    <sheet name="8. MOSFET" sheetId="9" r:id="rId9"/>
    <sheet name="9. Loop Compensation" sheetId="10" r:id="rId10"/>
    <sheet name="Design Information" sheetId="11" state="hidden" r:id="rId11"/>
    <sheet name="Calculations" sheetId="12" state="hidden" r:id="rId12"/>
  </sheets>
  <externalReferences>
    <externalReference r:id="rId13"/>
  </externalReferences>
  <definedNames>
    <definedName name="C0">'9. Loop Compensation'!$T$15</definedName>
    <definedName name="comp_C1">'9. Loop Compensation'!$T$23</definedName>
    <definedName name="comp_C2">'9. Loop Compensation'!$T$24</definedName>
    <definedName name="comp_R2">'9. Loop Compensation'!$B$8</definedName>
    <definedName name="Dconv_max">Calculations!$D$2</definedName>
    <definedName name="Dmax_min">'2. Design Parameters'!$B$9</definedName>
    <definedName name="Dmax_nom">'2. Design Parameters'!$C$9</definedName>
    <definedName name="Fsw_max">'2. Design Parameters'!$D$7</definedName>
    <definedName name="Fsw_min">'2. Design Parameters'!$B$7</definedName>
    <definedName name="Fsw_nom">'2. Design Parameters'!$C$7</definedName>
    <definedName name="gm">'9. Loop Compensation'!$T$18</definedName>
    <definedName name="IavgL">'4. Boost Inductor'!$B$3</definedName>
    <definedName name="Ioutmax">'2. Design Parameters'!$D$6</definedName>
    <definedName name="IPeakL">'4. Boost Inductor'!$E$3</definedName>
    <definedName name="Iripple">'4. Boost Inductor'!$B$8</definedName>
    <definedName name="IrmsL">'4. Boost Inductor'!$E$2</definedName>
    <definedName name="Lo">'4. Boost Inductor'!$B$11</definedName>
    <definedName name="PartNumber">'[1]2. Design Parameters'!$H$2:$H$3</definedName>
    <definedName name="R0">'9. Loop Compensation'!$T$16</definedName>
    <definedName name="Rlower">'3. Feedback Resistors'!$D$8</definedName>
    <definedName name="Rotaesd">'9. Loop Compensation'!$T$17</definedName>
    <definedName name="Rout">'9. Loop Compensation'!$T$6</definedName>
    <definedName name="Rupper">'3. Feedback Resistors'!$D$7</definedName>
    <definedName name="SC_nom">'2. Design Parameters'!$C$8</definedName>
    <definedName name="Tsw">Calculations!$C$3</definedName>
    <definedName name="vcl_max">'2. Design Parameters'!$D$11</definedName>
    <definedName name="vcl_min">'2. Design Parameters'!$B$11</definedName>
    <definedName name="vcl_nom">'2. Design Parameters'!$C$11</definedName>
    <definedName name="Vdrv_nom">'2. Design Parameters'!$C$10</definedName>
    <definedName name="Vf">'7. Diode'!$B$1</definedName>
    <definedName name="Vin_max">'2. Design Parameters'!$D$4</definedName>
    <definedName name="Vin_min">'2. Design Parameters'!$B$4</definedName>
    <definedName name="Vin_nominal">'2. Design Parameters'!$C$4</definedName>
    <definedName name="Vout">'2. Design Parameters'!$C$5</definedName>
    <definedName name="wp1e">'9. Loop Compensation'!$T$21</definedName>
    <definedName name="wp2e">'9. Loop Compensation'!$T$22</definedName>
    <definedName name="wz1e">'9. Loop Compensation'!$T$19</definedName>
    <definedName name="wz2e">'9. Loop Compensation'!$T$20</definedName>
  </definedNames>
  <calcPr calcId="152511"/>
  <customWorkbookViews>
    <customWorkbookView name="ffx7zn - Personal View" guid="{25ED444C-8CCE-464F-9E26-1EDA12EA830D}" mergeInterval="0" personalView="1" maximized="1" xWindow="1" yWindow="1" windowWidth="1481" windowHeight="859" activeSheetId="10"/>
  </customWorkbookViews>
</workbook>
</file>

<file path=xl/calcChain.xml><?xml version="1.0" encoding="utf-8"?>
<calcChain xmlns="http://schemas.openxmlformats.org/spreadsheetml/2006/main">
  <c r="B5" i="10" l="1"/>
  <c r="B2" i="10"/>
  <c r="AC2" i="10"/>
  <c r="D11" i="2" l="1"/>
  <c r="B11" i="2"/>
  <c r="D9" i="2"/>
  <c r="C9" i="2"/>
  <c r="B9" i="2"/>
  <c r="C11" i="2"/>
  <c r="C8" i="2"/>
  <c r="AK2" i="10" l="1"/>
  <c r="T24" i="10"/>
  <c r="T23" i="10"/>
  <c r="T16" i="10"/>
  <c r="T15" i="10"/>
  <c r="T21" i="10" l="1"/>
  <c r="T19" i="10"/>
  <c r="T20" i="10"/>
  <c r="T22" i="10"/>
  <c r="B10" i="3" l="1"/>
  <c r="B8" i="3"/>
  <c r="E4" i="10"/>
  <c r="B14" i="10"/>
  <c r="B13" i="10"/>
  <c r="B12" i="10"/>
  <c r="D8" i="3"/>
  <c r="D7" i="3"/>
  <c r="Z3" i="10"/>
  <c r="AA3" i="10" s="1"/>
  <c r="AL3" i="10" s="1"/>
  <c r="Z4" i="10"/>
  <c r="AA4" i="10" s="1"/>
  <c r="Z5" i="10"/>
  <c r="AA5" i="10" s="1"/>
  <c r="AL5" i="10" s="1"/>
  <c r="Z6" i="10"/>
  <c r="AA6" i="10" s="1"/>
  <c r="AL6" i="10" s="1"/>
  <c r="Z7" i="10"/>
  <c r="AA7" i="10" s="1"/>
  <c r="AL7" i="10" s="1"/>
  <c r="Z8" i="10"/>
  <c r="AA8" i="10" s="1"/>
  <c r="AL8" i="10" s="1"/>
  <c r="Z9" i="10"/>
  <c r="AA9" i="10" s="1"/>
  <c r="Z10" i="10"/>
  <c r="AA10" i="10" s="1"/>
  <c r="AL10" i="10" s="1"/>
  <c r="Z11" i="10"/>
  <c r="AA11" i="10" s="1"/>
  <c r="AL11" i="10" s="1"/>
  <c r="Z12" i="10"/>
  <c r="AA12" i="10" s="1"/>
  <c r="AL12" i="10" s="1"/>
  <c r="Z13" i="10"/>
  <c r="AA13" i="10" s="1"/>
  <c r="AL13" i="10" s="1"/>
  <c r="Z14" i="10"/>
  <c r="AA14" i="10" s="1"/>
  <c r="AL14" i="10" s="1"/>
  <c r="Z15" i="10"/>
  <c r="AA15" i="10" s="1"/>
  <c r="AL15" i="10" s="1"/>
  <c r="Z16" i="10"/>
  <c r="AA16" i="10" s="1"/>
  <c r="AL16" i="10" s="1"/>
  <c r="Z17" i="10"/>
  <c r="AA17" i="10" s="1"/>
  <c r="Z18" i="10"/>
  <c r="AA18" i="10" s="1"/>
  <c r="AL18" i="10" s="1"/>
  <c r="Z19" i="10"/>
  <c r="AA19" i="10" s="1"/>
  <c r="Z20" i="10"/>
  <c r="AA20" i="10" s="1"/>
  <c r="AL20" i="10" s="1"/>
  <c r="Z21" i="10"/>
  <c r="AA21" i="10" s="1"/>
  <c r="AL21" i="10" s="1"/>
  <c r="Z22" i="10"/>
  <c r="AA22" i="10" s="1"/>
  <c r="Z23" i="10"/>
  <c r="AA23" i="10" s="1"/>
  <c r="AL23" i="10" s="1"/>
  <c r="Z24" i="10"/>
  <c r="AA24" i="10" s="1"/>
  <c r="AL24" i="10" s="1"/>
  <c r="Z25" i="10"/>
  <c r="AA25" i="10" s="1"/>
  <c r="AL25" i="10" s="1"/>
  <c r="Z26" i="10"/>
  <c r="AA26" i="10" s="1"/>
  <c r="AL26" i="10" s="1"/>
  <c r="Z27" i="10"/>
  <c r="AA27" i="10" s="1"/>
  <c r="AL27" i="10" s="1"/>
  <c r="Z28" i="10"/>
  <c r="AA28" i="10" s="1"/>
  <c r="Z29" i="10"/>
  <c r="AA29" i="10" s="1"/>
  <c r="AL29" i="10" s="1"/>
  <c r="Z30" i="10"/>
  <c r="AA30" i="10" s="1"/>
  <c r="Z31" i="10"/>
  <c r="AA31" i="10" s="1"/>
  <c r="AL31" i="10" s="1"/>
  <c r="Z32" i="10"/>
  <c r="AA32" i="10" s="1"/>
  <c r="AL32" i="10" s="1"/>
  <c r="Z33" i="10"/>
  <c r="AA33" i="10" s="1"/>
  <c r="AL33" i="10" s="1"/>
  <c r="Z34" i="10"/>
  <c r="AA34" i="10" s="1"/>
  <c r="AL34" i="10" s="1"/>
  <c r="Z35" i="10"/>
  <c r="AA35" i="10" s="1"/>
  <c r="Z36" i="10"/>
  <c r="AA36" i="10" s="1"/>
  <c r="Z37" i="10"/>
  <c r="AA37" i="10" s="1"/>
  <c r="AL37" i="10" s="1"/>
  <c r="Z38" i="10"/>
  <c r="AA38" i="10" s="1"/>
  <c r="AL38" i="10" s="1"/>
  <c r="Z39" i="10"/>
  <c r="AA39" i="10" s="1"/>
  <c r="AL39" i="10" s="1"/>
  <c r="Z40" i="10"/>
  <c r="AA40" i="10" s="1"/>
  <c r="AL40" i="10" s="1"/>
  <c r="Z41" i="10"/>
  <c r="AA41" i="10" s="1"/>
  <c r="Z42" i="10"/>
  <c r="AA42" i="10" s="1"/>
  <c r="AL42" i="10" s="1"/>
  <c r="Z43" i="10"/>
  <c r="AA43" i="10" s="1"/>
  <c r="AL43" i="10" s="1"/>
  <c r="Z44" i="10"/>
  <c r="AA44" i="10" s="1"/>
  <c r="AL44" i="10" s="1"/>
  <c r="Z45" i="10"/>
  <c r="AA45" i="10" s="1"/>
  <c r="AL45" i="10" s="1"/>
  <c r="Z46" i="10"/>
  <c r="AA46" i="10" s="1"/>
  <c r="AL46" i="10" s="1"/>
  <c r="Z47" i="10"/>
  <c r="AA47" i="10" s="1"/>
  <c r="AL47" i="10" s="1"/>
  <c r="Z48" i="10"/>
  <c r="AA48" i="10" s="1"/>
  <c r="AL48" i="10" s="1"/>
  <c r="Z49" i="10"/>
  <c r="AA49" i="10" s="1"/>
  <c r="Z50" i="10"/>
  <c r="AA50" i="10" s="1"/>
  <c r="AL50" i="10" s="1"/>
  <c r="Z51" i="10"/>
  <c r="AA51" i="10" s="1"/>
  <c r="AL51" i="10" s="1"/>
  <c r="Z52" i="10"/>
  <c r="AA52" i="10" s="1"/>
  <c r="AL52" i="10" s="1"/>
  <c r="Z53" i="10"/>
  <c r="AA53" i="10" s="1"/>
  <c r="AL53" i="10" s="1"/>
  <c r="Z54" i="10"/>
  <c r="AA54" i="10" s="1"/>
  <c r="Z55" i="10"/>
  <c r="AA55" i="10" s="1"/>
  <c r="AL55" i="10" s="1"/>
  <c r="Z56" i="10"/>
  <c r="AA56" i="10" s="1"/>
  <c r="AL56" i="10" s="1"/>
  <c r="Z57" i="10"/>
  <c r="AA57" i="10" s="1"/>
  <c r="AL57" i="10" s="1"/>
  <c r="Z58" i="10"/>
  <c r="AA58" i="10" s="1"/>
  <c r="AL58" i="10" s="1"/>
  <c r="Z59" i="10"/>
  <c r="AA59" i="10" s="1"/>
  <c r="AL59" i="10" s="1"/>
  <c r="Z60" i="10"/>
  <c r="AA60" i="10" s="1"/>
  <c r="Z61" i="10"/>
  <c r="AA61" i="10" s="1"/>
  <c r="AL61" i="10" s="1"/>
  <c r="Z62" i="10"/>
  <c r="AA62" i="10" s="1"/>
  <c r="Z63" i="10"/>
  <c r="AA63" i="10" s="1"/>
  <c r="AL63" i="10" s="1"/>
  <c r="Z64" i="10"/>
  <c r="AA64" i="10" s="1"/>
  <c r="AL64" i="10" s="1"/>
  <c r="Z65" i="10"/>
  <c r="AA65" i="10" s="1"/>
  <c r="AL65" i="10" s="1"/>
  <c r="Z66" i="10"/>
  <c r="AA66" i="10" s="1"/>
  <c r="AL66" i="10" s="1"/>
  <c r="Z67" i="10"/>
  <c r="AA67" i="10" s="1"/>
  <c r="Z68" i="10"/>
  <c r="AA68" i="10" s="1"/>
  <c r="Z69" i="10"/>
  <c r="AA69" i="10" s="1"/>
  <c r="AL69" i="10" s="1"/>
  <c r="Z70" i="10"/>
  <c r="AA70" i="10" s="1"/>
  <c r="AL70" i="10" s="1"/>
  <c r="Z71" i="10"/>
  <c r="AA71" i="10" s="1"/>
  <c r="AL71" i="10" s="1"/>
  <c r="Z72" i="10"/>
  <c r="AA72" i="10" s="1"/>
  <c r="AL72" i="10" s="1"/>
  <c r="Z73" i="10"/>
  <c r="AA73" i="10" s="1"/>
  <c r="Z74" i="10"/>
  <c r="AA74" i="10" s="1"/>
  <c r="AL74" i="10" s="1"/>
  <c r="Z75" i="10"/>
  <c r="AA75" i="10" s="1"/>
  <c r="AL75" i="10" s="1"/>
  <c r="Z76" i="10"/>
  <c r="AA76" i="10" s="1"/>
  <c r="AL76" i="10" s="1"/>
  <c r="Z77" i="10"/>
  <c r="AA77" i="10" s="1"/>
  <c r="AL77" i="10" s="1"/>
  <c r="Z78" i="10"/>
  <c r="AA78" i="10" s="1"/>
  <c r="AL78" i="10" s="1"/>
  <c r="Z79" i="10"/>
  <c r="AA79" i="10" s="1"/>
  <c r="Z80" i="10"/>
  <c r="AA80" i="10" s="1"/>
  <c r="AL80" i="10" s="1"/>
  <c r="Z81" i="10"/>
  <c r="AA81" i="10" s="1"/>
  <c r="Z82" i="10"/>
  <c r="AA82" i="10" s="1"/>
  <c r="AL82" i="10" s="1"/>
  <c r="Z83" i="10"/>
  <c r="AA83" i="10" s="1"/>
  <c r="AL83" i="10" s="1"/>
  <c r="Z84" i="10"/>
  <c r="AA84" i="10" s="1"/>
  <c r="AL84" i="10" s="1"/>
  <c r="Z85" i="10"/>
  <c r="AA85" i="10" s="1"/>
  <c r="AL85" i="10" s="1"/>
  <c r="Z86" i="10"/>
  <c r="AA86" i="10" s="1"/>
  <c r="Z87" i="10"/>
  <c r="AA87" i="10" s="1"/>
  <c r="AL87" i="10" s="1"/>
  <c r="Z88" i="10"/>
  <c r="AA88" i="10" s="1"/>
  <c r="AL88" i="10" s="1"/>
  <c r="Z89" i="10"/>
  <c r="AA89" i="10" s="1"/>
  <c r="AL89" i="10" s="1"/>
  <c r="Z90" i="10"/>
  <c r="AA90" i="10" s="1"/>
  <c r="AL90" i="10" s="1"/>
  <c r="Z91" i="10"/>
  <c r="AA91" i="10" s="1"/>
  <c r="AL91" i="10" s="1"/>
  <c r="Z92" i="10"/>
  <c r="AA92" i="10" s="1"/>
  <c r="Z93" i="10"/>
  <c r="AA93" i="10" s="1"/>
  <c r="AL93" i="10" s="1"/>
  <c r="Z94" i="10"/>
  <c r="AA94" i="10" s="1"/>
  <c r="Z95" i="10"/>
  <c r="AA95" i="10" s="1"/>
  <c r="AL95" i="10" s="1"/>
  <c r="Z96" i="10"/>
  <c r="AA96" i="10" s="1"/>
  <c r="AL96" i="10" s="1"/>
  <c r="Z97" i="10"/>
  <c r="AA97" i="10" s="1"/>
  <c r="AL97" i="10" s="1"/>
  <c r="Z98" i="10"/>
  <c r="AA98" i="10" s="1"/>
  <c r="AL98" i="10" s="1"/>
  <c r="Z99" i="10"/>
  <c r="AA99" i="10" s="1"/>
  <c r="Z100" i="10"/>
  <c r="AA100" i="10" s="1"/>
  <c r="Z101" i="10"/>
  <c r="AA101" i="10" s="1"/>
  <c r="AL101" i="10" s="1"/>
  <c r="Z102" i="10"/>
  <c r="AA102" i="10" s="1"/>
  <c r="AL102" i="10" s="1"/>
  <c r="Z103" i="10"/>
  <c r="AA103" i="10" s="1"/>
  <c r="AL103" i="10" s="1"/>
  <c r="Z104" i="10"/>
  <c r="AA104" i="10" s="1"/>
  <c r="AL104" i="10" s="1"/>
  <c r="Z105" i="10"/>
  <c r="AA105" i="10" s="1"/>
  <c r="Z106" i="10"/>
  <c r="AA106" i="10" s="1"/>
  <c r="AL106" i="10" s="1"/>
  <c r="Z107" i="10"/>
  <c r="AA107" i="10" s="1"/>
  <c r="AL107" i="10" s="1"/>
  <c r="Z108" i="10"/>
  <c r="AA108" i="10" s="1"/>
  <c r="AL108" i="10" s="1"/>
  <c r="Z109" i="10"/>
  <c r="AA109" i="10" s="1"/>
  <c r="AL109" i="10" s="1"/>
  <c r="Z110" i="10"/>
  <c r="AA110" i="10" s="1"/>
  <c r="AL110" i="10" s="1"/>
  <c r="Z111" i="10"/>
  <c r="AA111" i="10" s="1"/>
  <c r="Z112" i="10"/>
  <c r="AA112" i="10" s="1"/>
  <c r="AL112" i="10" s="1"/>
  <c r="Z113" i="10"/>
  <c r="AA113" i="10" s="1"/>
  <c r="Z114" i="10"/>
  <c r="AA114" i="10" s="1"/>
  <c r="AL114" i="10" s="1"/>
  <c r="Z115" i="10"/>
  <c r="AA115" i="10" s="1"/>
  <c r="AL115" i="10" s="1"/>
  <c r="Z116" i="10"/>
  <c r="AA116" i="10" s="1"/>
  <c r="AL116" i="10" s="1"/>
  <c r="Z117" i="10"/>
  <c r="AA117" i="10" s="1"/>
  <c r="AL117" i="10" s="1"/>
  <c r="Z118" i="10"/>
  <c r="AA118" i="10" s="1"/>
  <c r="Z119" i="10"/>
  <c r="AA119" i="10" s="1"/>
  <c r="AL119" i="10" s="1"/>
  <c r="Z120" i="10"/>
  <c r="AA120" i="10" s="1"/>
  <c r="AL120" i="10" s="1"/>
  <c r="Z121" i="10"/>
  <c r="AA121" i="10" s="1"/>
  <c r="AL121" i="10" s="1"/>
  <c r="Z122" i="10"/>
  <c r="AA122" i="10" s="1"/>
  <c r="AL122" i="10" s="1"/>
  <c r="Z123" i="10"/>
  <c r="AA123" i="10" s="1"/>
  <c r="AL123" i="10" s="1"/>
  <c r="Z124" i="10"/>
  <c r="AA124" i="10" s="1"/>
  <c r="Z125" i="10"/>
  <c r="AA125" i="10" s="1"/>
  <c r="AL125" i="10" s="1"/>
  <c r="Z126" i="10"/>
  <c r="AA126" i="10" s="1"/>
  <c r="Z127" i="10"/>
  <c r="AA127" i="10" s="1"/>
  <c r="AL127" i="10" s="1"/>
  <c r="Z128" i="10"/>
  <c r="AA128" i="10" s="1"/>
  <c r="AL128" i="10" s="1"/>
  <c r="Z129" i="10"/>
  <c r="AA129" i="10" s="1"/>
  <c r="AL129" i="10" s="1"/>
  <c r="Z130" i="10"/>
  <c r="AA130" i="10" s="1"/>
  <c r="AL130" i="10" s="1"/>
  <c r="Z131" i="10"/>
  <c r="AA131" i="10" s="1"/>
  <c r="Z132" i="10"/>
  <c r="AA132" i="10" s="1"/>
  <c r="Z133" i="10"/>
  <c r="AA133" i="10" s="1"/>
  <c r="AL133" i="10" s="1"/>
  <c r="Z134" i="10"/>
  <c r="AA134" i="10" s="1"/>
  <c r="AL134" i="10" s="1"/>
  <c r="Z135" i="10"/>
  <c r="AA135" i="10" s="1"/>
  <c r="AL135" i="10" s="1"/>
  <c r="Z136" i="10"/>
  <c r="AA136" i="10" s="1"/>
  <c r="AL136" i="10" s="1"/>
  <c r="Z137" i="10"/>
  <c r="AA137" i="10" s="1"/>
  <c r="Z138" i="10"/>
  <c r="AA138" i="10" s="1"/>
  <c r="AL138" i="10" s="1"/>
  <c r="Z139" i="10"/>
  <c r="AA139" i="10" s="1"/>
  <c r="AL139" i="10" s="1"/>
  <c r="Z140" i="10"/>
  <c r="AA140" i="10" s="1"/>
  <c r="AL140" i="10" s="1"/>
  <c r="Z141" i="10"/>
  <c r="AA141" i="10" s="1"/>
  <c r="AL141" i="10" s="1"/>
  <c r="Z142" i="10"/>
  <c r="AA142" i="10" s="1"/>
  <c r="AL142" i="10" s="1"/>
  <c r="Z143" i="10"/>
  <c r="AA143" i="10" s="1"/>
  <c r="Z144" i="10"/>
  <c r="AA144" i="10" s="1"/>
  <c r="AL144" i="10" s="1"/>
  <c r="Z145" i="10"/>
  <c r="AA145" i="10" s="1"/>
  <c r="Z146" i="10"/>
  <c r="AA146" i="10" s="1"/>
  <c r="AL146" i="10" s="1"/>
  <c r="Z147" i="10"/>
  <c r="AA147" i="10" s="1"/>
  <c r="AL147" i="10" s="1"/>
  <c r="Z148" i="10"/>
  <c r="AA148" i="10" s="1"/>
  <c r="AL148" i="10" s="1"/>
  <c r="Z149" i="10"/>
  <c r="AA149" i="10" s="1"/>
  <c r="AL149" i="10" s="1"/>
  <c r="Z150" i="10"/>
  <c r="AA150" i="10" s="1"/>
  <c r="Z151" i="10"/>
  <c r="AA151" i="10" s="1"/>
  <c r="AL151" i="10" s="1"/>
  <c r="Z152" i="10"/>
  <c r="AA152" i="10" s="1"/>
  <c r="AL152" i="10" s="1"/>
  <c r="Z153" i="10"/>
  <c r="AA153" i="10" s="1"/>
  <c r="AL153" i="10" s="1"/>
  <c r="Z154" i="10"/>
  <c r="AA154" i="10" s="1"/>
  <c r="AL154" i="10" s="1"/>
  <c r="Z155" i="10"/>
  <c r="AA155" i="10" s="1"/>
  <c r="AL155" i="10" s="1"/>
  <c r="Z156" i="10"/>
  <c r="AA156" i="10" s="1"/>
  <c r="Z157" i="10"/>
  <c r="AA157" i="10" s="1"/>
  <c r="AL157" i="10" s="1"/>
  <c r="Z158" i="10"/>
  <c r="AA158" i="10" s="1"/>
  <c r="Z159" i="10"/>
  <c r="AA159" i="10" s="1"/>
  <c r="AL159" i="10" s="1"/>
  <c r="Z160" i="10"/>
  <c r="AA160" i="10" s="1"/>
  <c r="AL160" i="10" s="1"/>
  <c r="Z161" i="10"/>
  <c r="AA161" i="10" s="1"/>
  <c r="AL161" i="10" s="1"/>
  <c r="Z162" i="10"/>
  <c r="AA162" i="10" s="1"/>
  <c r="AL162" i="10" s="1"/>
  <c r="Z163" i="10"/>
  <c r="AA163" i="10" s="1"/>
  <c r="Z164" i="10"/>
  <c r="AA164" i="10" s="1"/>
  <c r="Z165" i="10"/>
  <c r="AA165" i="10" s="1"/>
  <c r="AL165" i="10" s="1"/>
  <c r="Z166" i="10"/>
  <c r="AA166" i="10" s="1"/>
  <c r="AL166" i="10" s="1"/>
  <c r="Z167" i="10"/>
  <c r="AA167" i="10" s="1"/>
  <c r="AL167" i="10" s="1"/>
  <c r="Z168" i="10"/>
  <c r="AA168" i="10" s="1"/>
  <c r="AL168" i="10" s="1"/>
  <c r="Z169" i="10"/>
  <c r="AA169" i="10" s="1"/>
  <c r="Z170" i="10"/>
  <c r="AA170" i="10" s="1"/>
  <c r="AL170" i="10" s="1"/>
  <c r="Z171" i="10"/>
  <c r="AA171" i="10" s="1"/>
  <c r="AL171" i="10" s="1"/>
  <c r="Z172" i="10"/>
  <c r="AA172" i="10" s="1"/>
  <c r="AL172" i="10" s="1"/>
  <c r="Z173" i="10"/>
  <c r="AA173" i="10" s="1"/>
  <c r="AL173" i="10" s="1"/>
  <c r="Z174" i="10"/>
  <c r="AA174" i="10" s="1"/>
  <c r="AL174" i="10" s="1"/>
  <c r="Z175" i="10"/>
  <c r="AA175" i="10" s="1"/>
  <c r="Z176" i="10"/>
  <c r="AA176" i="10" s="1"/>
  <c r="AL176" i="10" s="1"/>
  <c r="Z177" i="10"/>
  <c r="AA177" i="10" s="1"/>
  <c r="Z178" i="10"/>
  <c r="AA178" i="10" s="1"/>
  <c r="AL178" i="10" s="1"/>
  <c r="Z179" i="10"/>
  <c r="AA179" i="10" s="1"/>
  <c r="AL179" i="10" s="1"/>
  <c r="Z180" i="10"/>
  <c r="AA180" i="10" s="1"/>
  <c r="AL180" i="10" s="1"/>
  <c r="Z181" i="10"/>
  <c r="AA181" i="10" s="1"/>
  <c r="AL181" i="10" s="1"/>
  <c r="Z182" i="10"/>
  <c r="AA182" i="10" s="1"/>
  <c r="Z183" i="10"/>
  <c r="AA183" i="10" s="1"/>
  <c r="AL183" i="10" s="1"/>
  <c r="Z184" i="10"/>
  <c r="AA184" i="10" s="1"/>
  <c r="AL184" i="10" s="1"/>
  <c r="Z185" i="10"/>
  <c r="AA185" i="10" s="1"/>
  <c r="AL185" i="10" s="1"/>
  <c r="Z186" i="10"/>
  <c r="AA186" i="10" s="1"/>
  <c r="AL186" i="10" s="1"/>
  <c r="Z187" i="10"/>
  <c r="AA187" i="10" s="1"/>
  <c r="AL187" i="10" s="1"/>
  <c r="Z188" i="10"/>
  <c r="AA188" i="10" s="1"/>
  <c r="Z189" i="10"/>
  <c r="AA189" i="10" s="1"/>
  <c r="AL189" i="10" s="1"/>
  <c r="Z190" i="10"/>
  <c r="AA190" i="10" s="1"/>
  <c r="Z191" i="10"/>
  <c r="AA191" i="10" s="1"/>
  <c r="AL191" i="10" s="1"/>
  <c r="Z192" i="10"/>
  <c r="AA192" i="10" s="1"/>
  <c r="AL192" i="10" s="1"/>
  <c r="Z193" i="10"/>
  <c r="AA193" i="10" s="1"/>
  <c r="AL193" i="10" s="1"/>
  <c r="Z194" i="10"/>
  <c r="AA194" i="10" s="1"/>
  <c r="AL194" i="10" s="1"/>
  <c r="Z195" i="10"/>
  <c r="AA195" i="10" s="1"/>
  <c r="Z196" i="10"/>
  <c r="AA196" i="10" s="1"/>
  <c r="Z197" i="10"/>
  <c r="AA197" i="10" s="1"/>
  <c r="AL197" i="10" s="1"/>
  <c r="Z198" i="10"/>
  <c r="AA198" i="10" s="1"/>
  <c r="Z199" i="10"/>
  <c r="AA199" i="10" s="1"/>
  <c r="AL199" i="10" s="1"/>
  <c r="Z200" i="10"/>
  <c r="AA200" i="10" s="1"/>
  <c r="Z201" i="10"/>
  <c r="AA201" i="10" s="1"/>
  <c r="AL201" i="10" s="1"/>
  <c r="Z202" i="10"/>
  <c r="AA202" i="10" s="1"/>
  <c r="AL202" i="10" s="1"/>
  <c r="Z2" i="10"/>
  <c r="AA2" i="10" s="1"/>
  <c r="AL2" i="10" s="1"/>
  <c r="C3" i="12"/>
  <c r="B3" i="8"/>
  <c r="B5" i="8" s="1"/>
  <c r="B2" i="8"/>
  <c r="B3" i="9"/>
  <c r="D1" i="9"/>
  <c r="B4" i="6"/>
  <c r="C15" i="6"/>
  <c r="C14" i="6"/>
  <c r="B7" i="5"/>
  <c r="B6" i="5"/>
  <c r="D2" i="12"/>
  <c r="F9" i="2" s="1"/>
  <c r="B2" i="12"/>
  <c r="C2" i="12"/>
  <c r="B11" i="5"/>
  <c r="T7" i="10" s="1"/>
  <c r="B4" i="5"/>
  <c r="B3" i="4"/>
  <c r="B5" i="4" s="1"/>
  <c r="B8" i="4"/>
  <c r="B11" i="4"/>
  <c r="T4" i="10" s="1"/>
  <c r="B6" i="4"/>
  <c r="T2" i="10"/>
  <c r="W1" i="10" s="1"/>
  <c r="A8" i="3"/>
  <c r="A9" i="3"/>
  <c r="A7" i="3"/>
  <c r="T6" i="10"/>
  <c r="AB65" i="10" s="1"/>
  <c r="T3" i="10"/>
  <c r="T1" i="10"/>
  <c r="AM25" i="10" l="1"/>
  <c r="AN25" i="10" s="1"/>
  <c r="AM7" i="10"/>
  <c r="AN7" i="10" s="1"/>
  <c r="AM138" i="10"/>
  <c r="AN138" i="10" s="1"/>
  <c r="AM82" i="10"/>
  <c r="AN82" i="10" s="1"/>
  <c r="AM159" i="10"/>
  <c r="AN159" i="10" s="1"/>
  <c r="AM166" i="10"/>
  <c r="AN166" i="10" s="1"/>
  <c r="AM26" i="10"/>
  <c r="AN26" i="10" s="1"/>
  <c r="AM10" i="10"/>
  <c r="AN10" i="10" s="1"/>
  <c r="AM178" i="10"/>
  <c r="AN178" i="10" s="1"/>
  <c r="AM202" i="10"/>
  <c r="AN202" i="10" s="1"/>
  <c r="AM3" i="10"/>
  <c r="AN3" i="10" s="1"/>
  <c r="AM55" i="10"/>
  <c r="AN55" i="10" s="1"/>
  <c r="AM139" i="10"/>
  <c r="AN139" i="10" s="1"/>
  <c r="AM101" i="10"/>
  <c r="AN101" i="10" s="1"/>
  <c r="AM61" i="10"/>
  <c r="AN61" i="10" s="1"/>
  <c r="AM5" i="10"/>
  <c r="AN5" i="10" s="1"/>
  <c r="AM135" i="10"/>
  <c r="AN135" i="10" s="1"/>
  <c r="AM115" i="10"/>
  <c r="AN115" i="10" s="1"/>
  <c r="AM183" i="10"/>
  <c r="AN183" i="10" s="1"/>
  <c r="AM27" i="10"/>
  <c r="AN27" i="10" s="1"/>
  <c r="AM141" i="10"/>
  <c r="AN141" i="10" s="1"/>
  <c r="AM98" i="10"/>
  <c r="AN98" i="10" s="1"/>
  <c r="AM50" i="10"/>
  <c r="AN50" i="10" s="1"/>
  <c r="AM71" i="10"/>
  <c r="AN71" i="10" s="1"/>
  <c r="AL200" i="10"/>
  <c r="AM200" i="10"/>
  <c r="AM196" i="10"/>
  <c r="AL196" i="10"/>
  <c r="AM156" i="10"/>
  <c r="AL156" i="10"/>
  <c r="AL124" i="10"/>
  <c r="AM124" i="10"/>
  <c r="AL68" i="10"/>
  <c r="AM68" i="10"/>
  <c r="AM20" i="10"/>
  <c r="AN20" i="10" s="1"/>
  <c r="AM52" i="10"/>
  <c r="AN52" i="10" s="1"/>
  <c r="AM84" i="10"/>
  <c r="AN84" i="10" s="1"/>
  <c r="AP84" i="10" s="1"/>
  <c r="AM116" i="10"/>
  <c r="AN116" i="10" s="1"/>
  <c r="AO116" i="10" s="1"/>
  <c r="AR116" i="10" s="1"/>
  <c r="AM148" i="10"/>
  <c r="AN148" i="10" s="1"/>
  <c r="AM180" i="10"/>
  <c r="AN180" i="10" s="1"/>
  <c r="AP180" i="10" s="1"/>
  <c r="AM120" i="10"/>
  <c r="AN120" i="10" s="1"/>
  <c r="AM175" i="10"/>
  <c r="AL175" i="10"/>
  <c r="AL163" i="10"/>
  <c r="AM163" i="10"/>
  <c r="AL143" i="10"/>
  <c r="AM143" i="10"/>
  <c r="AM131" i="10"/>
  <c r="AL131" i="10"/>
  <c r="AL111" i="10"/>
  <c r="AM111" i="10"/>
  <c r="AM99" i="10"/>
  <c r="AL99" i="10"/>
  <c r="AL79" i="10"/>
  <c r="AM79" i="10"/>
  <c r="AM67" i="10"/>
  <c r="AL67" i="10"/>
  <c r="AM35" i="10"/>
  <c r="AL35" i="10"/>
  <c r="AM19" i="10"/>
  <c r="AL19" i="10"/>
  <c r="AM63" i="10"/>
  <c r="AN63" i="10" s="1"/>
  <c r="AM179" i="10"/>
  <c r="AN179" i="10" s="1"/>
  <c r="AM11" i="10"/>
  <c r="AN11" i="10" s="1"/>
  <c r="AM38" i="10"/>
  <c r="AN38" i="10" s="1"/>
  <c r="AM102" i="10"/>
  <c r="AN102" i="10" s="1"/>
  <c r="AM31" i="10"/>
  <c r="AN31" i="10" s="1"/>
  <c r="AM151" i="10"/>
  <c r="AN151" i="10" s="1"/>
  <c r="AM107" i="10"/>
  <c r="AN107" i="10" s="1"/>
  <c r="AM6" i="10"/>
  <c r="AN6" i="10" s="1"/>
  <c r="AM89" i="10"/>
  <c r="AN89" i="10" s="1"/>
  <c r="AM153" i="10"/>
  <c r="AN153" i="10" s="1"/>
  <c r="AM45" i="10"/>
  <c r="AN45" i="10" s="1"/>
  <c r="AM69" i="10"/>
  <c r="AN69" i="10" s="1"/>
  <c r="AM109" i="10"/>
  <c r="AN109" i="10" s="1"/>
  <c r="AM146" i="10"/>
  <c r="AN146" i="10" s="1"/>
  <c r="AM15" i="10"/>
  <c r="AN15" i="10" s="1"/>
  <c r="AM29" i="10"/>
  <c r="AN29" i="10" s="1"/>
  <c r="AM66" i="10"/>
  <c r="AN66" i="10" s="1"/>
  <c r="AM106" i="10"/>
  <c r="AN106" i="10" s="1"/>
  <c r="AM154" i="10"/>
  <c r="AN154" i="10" s="1"/>
  <c r="AM186" i="10"/>
  <c r="AN186" i="10" s="1"/>
  <c r="AM8" i="10"/>
  <c r="AN8" i="10" s="1"/>
  <c r="AM32" i="10"/>
  <c r="AN32" i="10" s="1"/>
  <c r="AM53" i="10"/>
  <c r="AN53" i="10" s="1"/>
  <c r="AM85" i="10"/>
  <c r="AN85" i="10" s="1"/>
  <c r="AM104" i="10"/>
  <c r="AN104" i="10" s="1"/>
  <c r="AM130" i="10"/>
  <c r="AN130" i="10" s="1"/>
  <c r="AM149" i="10"/>
  <c r="AN149" i="10" s="1"/>
  <c r="AM173" i="10"/>
  <c r="AN173" i="10" s="1"/>
  <c r="AM189" i="10"/>
  <c r="AN189" i="10" s="1"/>
  <c r="AM167" i="10"/>
  <c r="AN167" i="10" s="1"/>
  <c r="AM59" i="10"/>
  <c r="AN59" i="10" s="1"/>
  <c r="AM123" i="10"/>
  <c r="AN123" i="10" s="1"/>
  <c r="AM100" i="10"/>
  <c r="AL100" i="10"/>
  <c r="AM36" i="10"/>
  <c r="AL36" i="10"/>
  <c r="AM140" i="10"/>
  <c r="AN140" i="10" s="1"/>
  <c r="AM64" i="10"/>
  <c r="AN64" i="10" s="1"/>
  <c r="AM24" i="10"/>
  <c r="AN24" i="10" s="1"/>
  <c r="AL195" i="10"/>
  <c r="AM195" i="10"/>
  <c r="AM198" i="10"/>
  <c r="AL198" i="10"/>
  <c r="AM190" i="10"/>
  <c r="AL190" i="10"/>
  <c r="AL182" i="10"/>
  <c r="AM182" i="10"/>
  <c r="AM158" i="10"/>
  <c r="AL158" i="10"/>
  <c r="AL150" i="10"/>
  <c r="AM150" i="10"/>
  <c r="AL126" i="10"/>
  <c r="AM126" i="10"/>
  <c r="AL118" i="10"/>
  <c r="AM118" i="10"/>
  <c r="AL94" i="10"/>
  <c r="AM94" i="10"/>
  <c r="AL86" i="10"/>
  <c r="AM86" i="10"/>
  <c r="AL62" i="10"/>
  <c r="AM62" i="10"/>
  <c r="AL54" i="10"/>
  <c r="AM54" i="10"/>
  <c r="AM30" i="10"/>
  <c r="AL30" i="10"/>
  <c r="AL22" i="10"/>
  <c r="AM22" i="10"/>
  <c r="AM127" i="10"/>
  <c r="AN127" i="10" s="1"/>
  <c r="AM43" i="10"/>
  <c r="AN43" i="10" s="1"/>
  <c r="AM83" i="10"/>
  <c r="AN83" i="10" s="1"/>
  <c r="AM33" i="10"/>
  <c r="AN33" i="10" s="1"/>
  <c r="AM65" i="10"/>
  <c r="AN65" i="10" s="1"/>
  <c r="AM97" i="10"/>
  <c r="AN97" i="10" s="1"/>
  <c r="AM129" i="10"/>
  <c r="AN129" i="10" s="1"/>
  <c r="AM161" i="10"/>
  <c r="AN161" i="10" s="1"/>
  <c r="AM193" i="10"/>
  <c r="AN193" i="10" s="1"/>
  <c r="AM44" i="10"/>
  <c r="AN44" i="10" s="1"/>
  <c r="AM134" i="10"/>
  <c r="AN134" i="10" s="1"/>
  <c r="AM39" i="10"/>
  <c r="AN39" i="10" s="1"/>
  <c r="AM119" i="10"/>
  <c r="AN119" i="10" s="1"/>
  <c r="AM75" i="10"/>
  <c r="AN75" i="10" s="1"/>
  <c r="AM171" i="10"/>
  <c r="AN171" i="10" s="1"/>
  <c r="AM108" i="10"/>
  <c r="AN108" i="10" s="1"/>
  <c r="AM172" i="10"/>
  <c r="AN172" i="10" s="1"/>
  <c r="AM13" i="10"/>
  <c r="AN13" i="10" s="1"/>
  <c r="AM48" i="10"/>
  <c r="AN48" i="10" s="1"/>
  <c r="AM77" i="10"/>
  <c r="AN77" i="10" s="1"/>
  <c r="AM112" i="10"/>
  <c r="AN112" i="10" s="1"/>
  <c r="AM152" i="10"/>
  <c r="AN152" i="10" s="1"/>
  <c r="AM23" i="10"/>
  <c r="AN23" i="10" s="1"/>
  <c r="AM34" i="10"/>
  <c r="AN34" i="10" s="1"/>
  <c r="AM74" i="10"/>
  <c r="AN74" i="10" s="1"/>
  <c r="AM125" i="10"/>
  <c r="AN125" i="10" s="1"/>
  <c r="AM162" i="10"/>
  <c r="AN162" i="10" s="1"/>
  <c r="AM194" i="10"/>
  <c r="AN194" i="10" s="1"/>
  <c r="AM18" i="10"/>
  <c r="AN18" i="10" s="1"/>
  <c r="AM37" i="10"/>
  <c r="AN37" i="10" s="1"/>
  <c r="AM56" i="10"/>
  <c r="AN56" i="10" s="1"/>
  <c r="AM88" i="10"/>
  <c r="AN88" i="10" s="1"/>
  <c r="AM114" i="10"/>
  <c r="AN114" i="10" s="1"/>
  <c r="AM133" i="10"/>
  <c r="AN133" i="10" s="1"/>
  <c r="AM160" i="10"/>
  <c r="AN160" i="10" s="1"/>
  <c r="AM176" i="10"/>
  <c r="AN176" i="10" s="1"/>
  <c r="AM192" i="10"/>
  <c r="AN192" i="10" s="1"/>
  <c r="AM155" i="10"/>
  <c r="AN155" i="10" s="1"/>
  <c r="AM188" i="10"/>
  <c r="AL188" i="10"/>
  <c r="AL164" i="10"/>
  <c r="AM164" i="10"/>
  <c r="AL132" i="10"/>
  <c r="AM132" i="10"/>
  <c r="AL92" i="10"/>
  <c r="AM92" i="10"/>
  <c r="AL60" i="10"/>
  <c r="AM60" i="10"/>
  <c r="AM28" i="10"/>
  <c r="AL28" i="10"/>
  <c r="AL4" i="10"/>
  <c r="AM4" i="10"/>
  <c r="AM76" i="10"/>
  <c r="AN76" i="10" s="1"/>
  <c r="AM96" i="10"/>
  <c r="AN96" i="10" s="1"/>
  <c r="AM144" i="10"/>
  <c r="AN144" i="10" s="1"/>
  <c r="AM168" i="10"/>
  <c r="AN168" i="10" s="1"/>
  <c r="AM184" i="10"/>
  <c r="AN184" i="10" s="1"/>
  <c r="AL177" i="10"/>
  <c r="AM177" i="10"/>
  <c r="AM169" i="10"/>
  <c r="AL169" i="10"/>
  <c r="AL145" i="10"/>
  <c r="AM145" i="10"/>
  <c r="AM137" i="10"/>
  <c r="AL137" i="10"/>
  <c r="AL113" i="10"/>
  <c r="AM113" i="10"/>
  <c r="AL105" i="10"/>
  <c r="AM105" i="10"/>
  <c r="AM81" i="10"/>
  <c r="AL81" i="10"/>
  <c r="AL73" i="10"/>
  <c r="AM73" i="10"/>
  <c r="AL49" i="10"/>
  <c r="AM49" i="10"/>
  <c r="AM41" i="10"/>
  <c r="AL41" i="10"/>
  <c r="AM17" i="10"/>
  <c r="AL17" i="10"/>
  <c r="AL9" i="10"/>
  <c r="AM9" i="10"/>
  <c r="AM95" i="10"/>
  <c r="AN95" i="10" s="1"/>
  <c r="AM191" i="10"/>
  <c r="AN191" i="10" s="1"/>
  <c r="AM51" i="10"/>
  <c r="AN51" i="10" s="1"/>
  <c r="AM147" i="10"/>
  <c r="AN147" i="10" s="1"/>
  <c r="AM14" i="10"/>
  <c r="AN14" i="10" s="1"/>
  <c r="AM46" i="10"/>
  <c r="AN46" i="10" s="1"/>
  <c r="AM78" i="10"/>
  <c r="AN78" i="10" s="1"/>
  <c r="AM110" i="10"/>
  <c r="AN110" i="10" s="1"/>
  <c r="AM142" i="10"/>
  <c r="AN142" i="10" s="1"/>
  <c r="AM174" i="10"/>
  <c r="AN174" i="10" s="1"/>
  <c r="AM12" i="10"/>
  <c r="AN12" i="10" s="1"/>
  <c r="AM70" i="10"/>
  <c r="AN70" i="10" s="1"/>
  <c r="AM201" i="10"/>
  <c r="AN201" i="10" s="1"/>
  <c r="AM47" i="10"/>
  <c r="AN47" i="10" s="1"/>
  <c r="AM87" i="10"/>
  <c r="AN87" i="10" s="1"/>
  <c r="AM57" i="10"/>
  <c r="AN57" i="10" s="1"/>
  <c r="AM121" i="10"/>
  <c r="AN121" i="10" s="1"/>
  <c r="AM185" i="10"/>
  <c r="AN185" i="10" s="1"/>
  <c r="AM16" i="10"/>
  <c r="AN16" i="10" s="1"/>
  <c r="AM58" i="10"/>
  <c r="AN58" i="10" s="1"/>
  <c r="AM80" i="10"/>
  <c r="AN80" i="10" s="1"/>
  <c r="AM122" i="10"/>
  <c r="AN122" i="10" s="1"/>
  <c r="AM157" i="10"/>
  <c r="AN157" i="10" s="1"/>
  <c r="AM2" i="10"/>
  <c r="AN2" i="10" s="1"/>
  <c r="AM42" i="10"/>
  <c r="AN42" i="10" s="1"/>
  <c r="AM93" i="10"/>
  <c r="AN93" i="10" s="1"/>
  <c r="AM128" i="10"/>
  <c r="AN128" i="10" s="1"/>
  <c r="AM170" i="10"/>
  <c r="AN170" i="10" s="1"/>
  <c r="AM21" i="10"/>
  <c r="AN21" i="10" s="1"/>
  <c r="AM40" i="10"/>
  <c r="AN40" i="10" s="1"/>
  <c r="AP40" i="10" s="1"/>
  <c r="AM72" i="10"/>
  <c r="AN72" i="10" s="1"/>
  <c r="AM90" i="10"/>
  <c r="AN90" i="10" s="1"/>
  <c r="AM117" i="10"/>
  <c r="AN117" i="10" s="1"/>
  <c r="AM136" i="10"/>
  <c r="AN136" i="10" s="1"/>
  <c r="AM165" i="10"/>
  <c r="AN165" i="10" s="1"/>
  <c r="AM181" i="10"/>
  <c r="AN181" i="10" s="1"/>
  <c r="AM197" i="10"/>
  <c r="AN197" i="10" s="1"/>
  <c r="AM103" i="10"/>
  <c r="AN103" i="10" s="1"/>
  <c r="AM199" i="10"/>
  <c r="AN199" i="10" s="1"/>
  <c r="AM91" i="10"/>
  <c r="AN91" i="10" s="1"/>
  <c r="AM187" i="10"/>
  <c r="AN187" i="10" s="1"/>
  <c r="W3" i="10"/>
  <c r="B5" i="6"/>
  <c r="B6" i="9"/>
  <c r="AO148" i="10"/>
  <c r="AR148" i="10" s="1"/>
  <c r="AB101" i="10"/>
  <c r="AB143" i="10"/>
  <c r="AB186" i="10"/>
  <c r="AB58" i="10"/>
  <c r="AB196" i="10"/>
  <c r="AB154" i="10"/>
  <c r="AB111" i="10"/>
  <c r="AB69" i="10"/>
  <c r="AB165" i="10"/>
  <c r="AB122" i="10"/>
  <c r="AB79" i="10"/>
  <c r="AB175" i="10"/>
  <c r="AB133" i="10"/>
  <c r="AB90" i="10"/>
  <c r="AB197" i="10"/>
  <c r="AB187" i="10"/>
  <c r="AB177" i="10"/>
  <c r="AB166" i="10"/>
  <c r="AB155" i="10"/>
  <c r="AB145" i="10"/>
  <c r="AB134" i="10"/>
  <c r="AB123" i="10"/>
  <c r="AB113" i="10"/>
  <c r="AB102" i="10"/>
  <c r="AB91" i="10"/>
  <c r="AB81" i="10"/>
  <c r="AB70" i="10"/>
  <c r="AB59" i="10"/>
  <c r="AB200" i="10"/>
  <c r="AB191" i="10"/>
  <c r="AB181" i="10"/>
  <c r="AB170" i="10"/>
  <c r="AB159" i="10"/>
  <c r="AB149" i="10"/>
  <c r="AB138" i="10"/>
  <c r="AB127" i="10"/>
  <c r="AB117" i="10"/>
  <c r="AB106" i="10"/>
  <c r="AB95" i="10"/>
  <c r="AB85" i="10"/>
  <c r="AB74" i="10"/>
  <c r="AB63" i="10"/>
  <c r="AB201" i="10"/>
  <c r="AB193" i="10"/>
  <c r="AB182" i="10"/>
  <c r="AB171" i="10"/>
  <c r="AB161" i="10"/>
  <c r="AB150" i="10"/>
  <c r="AB139" i="10"/>
  <c r="AB129" i="10"/>
  <c r="AB118" i="10"/>
  <c r="AB107" i="10"/>
  <c r="AB97" i="10"/>
  <c r="AB86" i="10"/>
  <c r="AB75" i="10"/>
  <c r="B6" i="6"/>
  <c r="AB60" i="10"/>
  <c r="AB64" i="10"/>
  <c r="AB68" i="10"/>
  <c r="AB72" i="10"/>
  <c r="AB76" i="10"/>
  <c r="AB80" i="10"/>
  <c r="AB84" i="10"/>
  <c r="AB88" i="10"/>
  <c r="AB92" i="10"/>
  <c r="AB96" i="10"/>
  <c r="AB100" i="10"/>
  <c r="AB104" i="10"/>
  <c r="AB108" i="10"/>
  <c r="AB112" i="10"/>
  <c r="AB116" i="10"/>
  <c r="AB120" i="10"/>
  <c r="AB124" i="10"/>
  <c r="AB128" i="10"/>
  <c r="AB132" i="10"/>
  <c r="AB136" i="10"/>
  <c r="AB140" i="10"/>
  <c r="AB144" i="10"/>
  <c r="AB148" i="10"/>
  <c r="AB152" i="10"/>
  <c r="AB156" i="10"/>
  <c r="AB160" i="10"/>
  <c r="AB164" i="10"/>
  <c r="AB168" i="10"/>
  <c r="AB172" i="10"/>
  <c r="AB176" i="10"/>
  <c r="AB180" i="10"/>
  <c r="AB184" i="10"/>
  <c r="AB188" i="10"/>
  <c r="AB192" i="10"/>
  <c r="AB202" i="10"/>
  <c r="AB198" i="10"/>
  <c r="AB194" i="10"/>
  <c r="AB189" i="10"/>
  <c r="AB183" i="10"/>
  <c r="AB178" i="10"/>
  <c r="AB173" i="10"/>
  <c r="AB167" i="10"/>
  <c r="AB162" i="10"/>
  <c r="AB157" i="10"/>
  <c r="AB151" i="10"/>
  <c r="AB146" i="10"/>
  <c r="AB141" i="10"/>
  <c r="AB135" i="10"/>
  <c r="AB130" i="10"/>
  <c r="AB125" i="10"/>
  <c r="AB119" i="10"/>
  <c r="AB114" i="10"/>
  <c r="AB109" i="10"/>
  <c r="AB103" i="10"/>
  <c r="AB98" i="10"/>
  <c r="AB93" i="10"/>
  <c r="AB87" i="10"/>
  <c r="AB82" i="10"/>
  <c r="AB77" i="10"/>
  <c r="AB71" i="10"/>
  <c r="AB66" i="10"/>
  <c r="AB61" i="10"/>
  <c r="AB199" i="10"/>
  <c r="AB195" i="10"/>
  <c r="AB190" i="10"/>
  <c r="AB185" i="10"/>
  <c r="AB179" i="10"/>
  <c r="AB174" i="10"/>
  <c r="AB169" i="10"/>
  <c r="AB163" i="10"/>
  <c r="AB158" i="10"/>
  <c r="AB153" i="10"/>
  <c r="AB147" i="10"/>
  <c r="AB142" i="10"/>
  <c r="AB137" i="10"/>
  <c r="AB131" i="10"/>
  <c r="AB126" i="10"/>
  <c r="AB121" i="10"/>
  <c r="AB115" i="10"/>
  <c r="AB110" i="10"/>
  <c r="AB105" i="10"/>
  <c r="AB99" i="10"/>
  <c r="AB94" i="10"/>
  <c r="AB89" i="10"/>
  <c r="AB83" i="10"/>
  <c r="AB78" i="10"/>
  <c r="AB73" i="10"/>
  <c r="AB67" i="10"/>
  <c r="AB62" i="10"/>
  <c r="AB57" i="10"/>
  <c r="E3" i="4"/>
  <c r="E2" i="4"/>
  <c r="B7" i="9" s="1"/>
  <c r="D8" i="4"/>
  <c r="AB6" i="10"/>
  <c r="T5" i="10"/>
  <c r="AB35" i="10"/>
  <c r="AB7" i="10"/>
  <c r="AB52" i="10"/>
  <c r="W4" i="10"/>
  <c r="AB56" i="10"/>
  <c r="AB48" i="10"/>
  <c r="AB40" i="10"/>
  <c r="AB32" i="10"/>
  <c r="AB19" i="10"/>
  <c r="AB3" i="10"/>
  <c r="AB51" i="10"/>
  <c r="AB43" i="10"/>
  <c r="AB23" i="10"/>
  <c r="AB44" i="10"/>
  <c r="AB36" i="10"/>
  <c r="AB27" i="10"/>
  <c r="AB11" i="10"/>
  <c r="AB55" i="10"/>
  <c r="AB47" i="10"/>
  <c r="AB39" i="10"/>
  <c r="AB31" i="10"/>
  <c r="AB15" i="10"/>
  <c r="AB28" i="10"/>
  <c r="AB24" i="10"/>
  <c r="AB20" i="10"/>
  <c r="AB16" i="10"/>
  <c r="AB12" i="10"/>
  <c r="AB8" i="10"/>
  <c r="AB4" i="10"/>
  <c r="AB2" i="10"/>
  <c r="AB53" i="10"/>
  <c r="AB49" i="10"/>
  <c r="AB45" i="10"/>
  <c r="AB41" i="10"/>
  <c r="AB37" i="10"/>
  <c r="AB33" i="10"/>
  <c r="AB29" i="10"/>
  <c r="AB25" i="10"/>
  <c r="AB21" i="10"/>
  <c r="AB17" i="10"/>
  <c r="AB13" i="10"/>
  <c r="AB9" i="10"/>
  <c r="AB5" i="10"/>
  <c r="AB54" i="10"/>
  <c r="AB50" i="10"/>
  <c r="AB46" i="10"/>
  <c r="AB42" i="10"/>
  <c r="AB38" i="10"/>
  <c r="AB34" i="10"/>
  <c r="AB30" i="10"/>
  <c r="AB26" i="10"/>
  <c r="AB22" i="10"/>
  <c r="AB18" i="10"/>
  <c r="AB14" i="10"/>
  <c r="AB10" i="10"/>
  <c r="AN41" i="10" l="1"/>
  <c r="AO41" i="10" s="1"/>
  <c r="AR41" i="10" s="1"/>
  <c r="AN137" i="10"/>
  <c r="AO137" i="10" s="1"/>
  <c r="AR137" i="10" s="1"/>
  <c r="AN169" i="10"/>
  <c r="AO169" i="10" s="1"/>
  <c r="AR169" i="10" s="1"/>
  <c r="AN36" i="10"/>
  <c r="AP36" i="10" s="1"/>
  <c r="AN156" i="10"/>
  <c r="AO156" i="10" s="1"/>
  <c r="AR156" i="10" s="1"/>
  <c r="AN17" i="10"/>
  <c r="AO17" i="10" s="1"/>
  <c r="AR17" i="10" s="1"/>
  <c r="AN81" i="10"/>
  <c r="AO81" i="10" s="1"/>
  <c r="AR81" i="10" s="1"/>
  <c r="AN4" i="10"/>
  <c r="AO4" i="10" s="1"/>
  <c r="AR4" i="10" s="1"/>
  <c r="AN60" i="10"/>
  <c r="AO60" i="10" s="1"/>
  <c r="AR60" i="10" s="1"/>
  <c r="AN132" i="10"/>
  <c r="AO132" i="10" s="1"/>
  <c r="AR132" i="10" s="1"/>
  <c r="AN22" i="10"/>
  <c r="AP22" i="10" s="1"/>
  <c r="AN198" i="10"/>
  <c r="AP198" i="10" s="1"/>
  <c r="AN100" i="10"/>
  <c r="AO100" i="10" s="1"/>
  <c r="AR100" i="10" s="1"/>
  <c r="AN163" i="10"/>
  <c r="AO163" i="10" s="1"/>
  <c r="AR163" i="10" s="1"/>
  <c r="AN28" i="10"/>
  <c r="AO28" i="10" s="1"/>
  <c r="AR28" i="10" s="1"/>
  <c r="AN30" i="10"/>
  <c r="AO30" i="10" s="1"/>
  <c r="AR30" i="10" s="1"/>
  <c r="AN62" i="10"/>
  <c r="AP62" i="10" s="1"/>
  <c r="AN94" i="10"/>
  <c r="AO94" i="10" s="1"/>
  <c r="AR94" i="10" s="1"/>
  <c r="AN126" i="10"/>
  <c r="AO126" i="10" s="1"/>
  <c r="AR126" i="10" s="1"/>
  <c r="AN195" i="10"/>
  <c r="AP195" i="10" s="1"/>
  <c r="AN35" i="10"/>
  <c r="AO35" i="10" s="1"/>
  <c r="AR35" i="10" s="1"/>
  <c r="AN175" i="10"/>
  <c r="AP175" i="10" s="1"/>
  <c r="AN196" i="10"/>
  <c r="AO196" i="10" s="1"/>
  <c r="AR196" i="10" s="1"/>
  <c r="AN200" i="10"/>
  <c r="AP200" i="10" s="1"/>
  <c r="AN49" i="10"/>
  <c r="AP49" i="10" s="1"/>
  <c r="AN113" i="10"/>
  <c r="AO113" i="10" s="1"/>
  <c r="AR113" i="10" s="1"/>
  <c r="AN145" i="10"/>
  <c r="AP145" i="10" s="1"/>
  <c r="AN177" i="10"/>
  <c r="AP177" i="10" s="1"/>
  <c r="AN124" i="10"/>
  <c r="AP124" i="10" s="1"/>
  <c r="AN92" i="10"/>
  <c r="AO92" i="10" s="1"/>
  <c r="AR92" i="10" s="1"/>
  <c r="AN164" i="10"/>
  <c r="AO164" i="10" s="1"/>
  <c r="AR164" i="10" s="1"/>
  <c r="AN158" i="10"/>
  <c r="AP158" i="10" s="1"/>
  <c r="AN190" i="10"/>
  <c r="AO190" i="10" s="1"/>
  <c r="AR190" i="10" s="1"/>
  <c r="AN79" i="10"/>
  <c r="AO79" i="10" s="1"/>
  <c r="AR79" i="10" s="1"/>
  <c r="AN111" i="10"/>
  <c r="AP111" i="10" s="1"/>
  <c r="AN143" i="10"/>
  <c r="AO143" i="10" s="1"/>
  <c r="AR143" i="10" s="1"/>
  <c r="AN9" i="10"/>
  <c r="AP9" i="10" s="1"/>
  <c r="AN73" i="10"/>
  <c r="AP73" i="10" s="1"/>
  <c r="AN105" i="10"/>
  <c r="AO105" i="10" s="1"/>
  <c r="AR105" i="10" s="1"/>
  <c r="AN188" i="10"/>
  <c r="AP188" i="10" s="1"/>
  <c r="AN54" i="10"/>
  <c r="AP54" i="10" s="1"/>
  <c r="AN86" i="10"/>
  <c r="AO86" i="10" s="1"/>
  <c r="AR86" i="10" s="1"/>
  <c r="AN118" i="10"/>
  <c r="AP118" i="10" s="1"/>
  <c r="AN150" i="10"/>
  <c r="AP150" i="10" s="1"/>
  <c r="AN182" i="10"/>
  <c r="AP182" i="10" s="1"/>
  <c r="AN19" i="10"/>
  <c r="AP19" i="10" s="1"/>
  <c r="AN67" i="10"/>
  <c r="AO67" i="10" s="1"/>
  <c r="AR67" i="10" s="1"/>
  <c r="AN99" i="10"/>
  <c r="AP99" i="10" s="1"/>
  <c r="AN131" i="10"/>
  <c r="AO131" i="10" s="1"/>
  <c r="AR131" i="10" s="1"/>
  <c r="AN68" i="10"/>
  <c r="AO68" i="10" s="1"/>
  <c r="AR68" i="10" s="1"/>
  <c r="E5" i="5"/>
  <c r="AO18" i="10"/>
  <c r="AR18" i="10" s="1"/>
  <c r="AP3" i="10"/>
  <c r="AP15" i="10"/>
  <c r="AO59" i="10"/>
  <c r="AR59" i="10" s="1"/>
  <c r="AO103" i="10"/>
  <c r="AR103" i="10" s="1"/>
  <c r="AO123" i="10"/>
  <c r="AR123" i="10" s="1"/>
  <c r="AP151" i="10"/>
  <c r="AO58" i="10"/>
  <c r="AR58" i="10" s="1"/>
  <c r="AP2" i="10"/>
  <c r="AO90" i="10"/>
  <c r="AR90" i="10" s="1"/>
  <c r="AO55" i="10"/>
  <c r="AR55" i="10" s="1"/>
  <c r="AO147" i="10"/>
  <c r="AR147" i="10" s="1"/>
  <c r="AO122" i="10"/>
  <c r="AR122" i="10" s="1"/>
  <c r="AO154" i="10"/>
  <c r="AR154" i="10" s="1"/>
  <c r="AO186" i="10"/>
  <c r="AR186" i="10" s="1"/>
  <c r="AO45" i="10"/>
  <c r="AR45" i="10" s="1"/>
  <c r="AO69" i="10"/>
  <c r="AR69" i="10" s="1"/>
  <c r="AP85" i="10"/>
  <c r="AP101" i="10"/>
  <c r="AO26" i="10"/>
  <c r="AR26" i="10" s="1"/>
  <c r="AO34" i="10"/>
  <c r="AR34" i="10" s="1"/>
  <c r="AP42" i="10"/>
  <c r="AP39" i="10"/>
  <c r="AP46" i="10"/>
  <c r="AO8" i="10"/>
  <c r="AR8" i="10" s="1"/>
  <c r="AO64" i="10"/>
  <c r="AR64" i="10" s="1"/>
  <c r="AO96" i="10"/>
  <c r="AR96" i="10" s="1"/>
  <c r="AO144" i="10"/>
  <c r="AR144" i="10" s="1"/>
  <c r="AP176" i="10"/>
  <c r="AP155" i="10"/>
  <c r="AP10" i="10"/>
  <c r="AP110" i="10"/>
  <c r="AO142" i="10"/>
  <c r="AR142" i="10" s="1"/>
  <c r="AP20" i="10"/>
  <c r="AP75" i="10"/>
  <c r="AO119" i="10"/>
  <c r="AR119" i="10" s="1"/>
  <c r="AO191" i="10"/>
  <c r="AR191" i="10" s="1"/>
  <c r="AP82" i="10"/>
  <c r="AO114" i="10"/>
  <c r="AR114" i="10" s="1"/>
  <c r="AP178" i="10"/>
  <c r="AO65" i="10"/>
  <c r="AR65" i="10" s="1"/>
  <c r="AP97" i="10"/>
  <c r="AO129" i="10"/>
  <c r="AR129" i="10" s="1"/>
  <c r="AO193" i="10"/>
  <c r="AR193" i="10" s="1"/>
  <c r="AO32" i="10"/>
  <c r="AR32" i="10" s="1"/>
  <c r="AP21" i="10"/>
  <c r="AO48" i="10"/>
  <c r="AR48" i="10" s="1"/>
  <c r="AP38" i="10"/>
  <c r="AO112" i="10"/>
  <c r="AR112" i="10" s="1"/>
  <c r="AP24" i="10"/>
  <c r="AO76" i="10"/>
  <c r="AR76" i="10" s="1"/>
  <c r="AP108" i="10"/>
  <c r="AO140" i="10"/>
  <c r="AR140" i="10" s="1"/>
  <c r="AO172" i="10"/>
  <c r="AR172" i="10" s="1"/>
  <c r="AO183" i="10"/>
  <c r="AR183" i="10" s="1"/>
  <c r="AP70" i="10"/>
  <c r="AO102" i="10"/>
  <c r="AR102" i="10" s="1"/>
  <c r="AP134" i="10"/>
  <c r="AP166" i="10"/>
  <c r="AO179" i="10"/>
  <c r="AR179" i="10" s="1"/>
  <c r="AO23" i="10"/>
  <c r="AR23" i="10" s="1"/>
  <c r="AO71" i="10"/>
  <c r="AR71" i="10" s="1"/>
  <c r="AP91" i="10"/>
  <c r="AO135" i="10"/>
  <c r="AR135" i="10" s="1"/>
  <c r="AO6" i="10"/>
  <c r="AR6" i="10" s="1"/>
  <c r="AP74" i="10"/>
  <c r="AP106" i="10"/>
  <c r="AP138" i="10"/>
  <c r="AO170" i="10"/>
  <c r="AR170" i="10" s="1"/>
  <c r="AP202" i="10"/>
  <c r="AP61" i="10"/>
  <c r="AP77" i="10"/>
  <c r="AP93" i="10"/>
  <c r="AO109" i="10"/>
  <c r="AR109" i="10" s="1"/>
  <c r="AP125" i="10"/>
  <c r="AP141" i="10"/>
  <c r="AO157" i="10"/>
  <c r="AR157" i="10" s="1"/>
  <c r="AP173" i="10"/>
  <c r="AP189" i="10"/>
  <c r="AP11" i="10"/>
  <c r="AO13" i="10"/>
  <c r="AR13" i="10" s="1"/>
  <c r="AO117" i="10"/>
  <c r="AR117" i="10" s="1"/>
  <c r="AO133" i="10"/>
  <c r="AR133" i="10" s="1"/>
  <c r="AP149" i="10"/>
  <c r="AP165" i="10"/>
  <c r="AP181" i="10"/>
  <c r="AP197" i="10"/>
  <c r="AP5" i="10"/>
  <c r="AP37" i="10"/>
  <c r="AO29" i="10"/>
  <c r="AR29" i="10" s="1"/>
  <c r="AP50" i="10"/>
  <c r="AO33" i="10"/>
  <c r="AR33" i="10" s="1"/>
  <c r="AP80" i="10"/>
  <c r="AO128" i="10"/>
  <c r="AR128" i="10" s="1"/>
  <c r="AP160" i="10"/>
  <c r="AO192" i="10"/>
  <c r="AR192" i="10" s="1"/>
  <c r="AP187" i="10"/>
  <c r="AP78" i="10"/>
  <c r="AP174" i="10"/>
  <c r="AP7" i="10"/>
  <c r="AO31" i="10"/>
  <c r="AR31" i="10" s="1"/>
  <c r="AP95" i="10"/>
  <c r="AO139" i="10"/>
  <c r="AR139" i="10" s="1"/>
  <c r="AP14" i="10"/>
  <c r="AO146" i="10"/>
  <c r="AR146" i="10" s="1"/>
  <c r="AP161" i="10"/>
  <c r="AO25" i="10"/>
  <c r="AR25" i="10" s="1"/>
  <c r="AP47" i="10"/>
  <c r="AP51" i="10"/>
  <c r="AO16" i="10"/>
  <c r="AR16" i="10" s="1"/>
  <c r="AP56" i="10"/>
  <c r="AP72" i="10"/>
  <c r="AP88" i="10"/>
  <c r="AP104" i="10"/>
  <c r="AO120" i="10"/>
  <c r="AR120" i="10" s="1"/>
  <c r="AO136" i="10"/>
  <c r="AR136" i="10" s="1"/>
  <c r="AO152" i="10"/>
  <c r="AR152" i="10" s="1"/>
  <c r="AP168" i="10"/>
  <c r="AO184" i="10"/>
  <c r="AR184" i="10" s="1"/>
  <c r="AO171" i="10"/>
  <c r="AR171" i="10" s="1"/>
  <c r="AP27" i="10"/>
  <c r="AP115" i="10"/>
  <c r="AO63" i="10"/>
  <c r="AR63" i="10" s="1"/>
  <c r="AO87" i="10"/>
  <c r="AR87" i="10" s="1"/>
  <c r="AO107" i="10"/>
  <c r="AR107" i="10" s="1"/>
  <c r="AP127" i="10"/>
  <c r="AP159" i="10"/>
  <c r="AO66" i="10"/>
  <c r="AR66" i="10" s="1"/>
  <c r="AP98" i="10"/>
  <c r="AO130" i="10"/>
  <c r="AR130" i="10" s="1"/>
  <c r="AP162" i="10"/>
  <c r="AP194" i="10"/>
  <c r="AP57" i="10"/>
  <c r="AP89" i="10"/>
  <c r="AP121" i="10"/>
  <c r="AP153" i="10"/>
  <c r="AO185" i="10"/>
  <c r="AR185" i="10" s="1"/>
  <c r="AP201" i="10"/>
  <c r="AO83" i="10"/>
  <c r="AR83" i="10" s="1"/>
  <c r="B2" i="5"/>
  <c r="B4" i="8"/>
  <c r="B8" i="9"/>
  <c r="AP148" i="10"/>
  <c r="AO180" i="10"/>
  <c r="AR180" i="10" s="1"/>
  <c r="AO84" i="10"/>
  <c r="AR84" i="10" s="1"/>
  <c r="AP116" i="10"/>
  <c r="AO40" i="10"/>
  <c r="AR40" i="10" s="1"/>
  <c r="AO167" i="10"/>
  <c r="AR167" i="10" s="1"/>
  <c r="AP167" i="10"/>
  <c r="AO199" i="10"/>
  <c r="AR199" i="10" s="1"/>
  <c r="AP199" i="10"/>
  <c r="AO12" i="10"/>
  <c r="AR12" i="10" s="1"/>
  <c r="AP12" i="10"/>
  <c r="W5" i="10"/>
  <c r="W2" i="10"/>
  <c r="AE151" i="10" s="1"/>
  <c r="AP132" i="10" l="1"/>
  <c r="AP100" i="10"/>
  <c r="AO150" i="10"/>
  <c r="AR150" i="10" s="1"/>
  <c r="AP164" i="10"/>
  <c r="AP131" i="10"/>
  <c r="AP196" i="10"/>
  <c r="AP68" i="10"/>
  <c r="AO124" i="10"/>
  <c r="AR124" i="10" s="1"/>
  <c r="AP18" i="10"/>
  <c r="AO182" i="10"/>
  <c r="AR182" i="10" s="1"/>
  <c r="AP86" i="10"/>
  <c r="AO3" i="10"/>
  <c r="AR3" i="10" s="1"/>
  <c r="AO118" i="10"/>
  <c r="AR118" i="10" s="1"/>
  <c r="AP103" i="10"/>
  <c r="AP79" i="10"/>
  <c r="AO15" i="10"/>
  <c r="AR15" i="10" s="1"/>
  <c r="AP59" i="10"/>
  <c r="AP123" i="10"/>
  <c r="AO151" i="10"/>
  <c r="AR151" i="10" s="1"/>
  <c r="AO189" i="10"/>
  <c r="AR189" i="10" s="1"/>
  <c r="AP58" i="10"/>
  <c r="AP192" i="10"/>
  <c r="AO89" i="10"/>
  <c r="AR89" i="10" s="1"/>
  <c r="AP135" i="10"/>
  <c r="AP147" i="10"/>
  <c r="AO75" i="10"/>
  <c r="AR75" i="10" s="1"/>
  <c r="AP45" i="10"/>
  <c r="AO2" i="10"/>
  <c r="AR2" i="10" s="1"/>
  <c r="AO134" i="10"/>
  <c r="AR134" i="10" s="1"/>
  <c r="AO82" i="10"/>
  <c r="AR82" i="10" s="1"/>
  <c r="AO155" i="10"/>
  <c r="AR155" i="10" s="1"/>
  <c r="AP64" i="10"/>
  <c r="AP126" i="10"/>
  <c r="AO54" i="10"/>
  <c r="AR54" i="10" s="1"/>
  <c r="AP154" i="10"/>
  <c r="AP139" i="10"/>
  <c r="AP90" i="10"/>
  <c r="AP157" i="10"/>
  <c r="AP185" i="10"/>
  <c r="AO14" i="10"/>
  <c r="AR14" i="10" s="1"/>
  <c r="AO57" i="10"/>
  <c r="AR57" i="10" s="1"/>
  <c r="AO21" i="10"/>
  <c r="AR21" i="10" s="1"/>
  <c r="AP65" i="10"/>
  <c r="AO73" i="10"/>
  <c r="AR73" i="10" s="1"/>
  <c r="AO101" i="10"/>
  <c r="AR101" i="10" s="1"/>
  <c r="AP55" i="10"/>
  <c r="AP16" i="10"/>
  <c r="AO47" i="10"/>
  <c r="AR47" i="10" s="1"/>
  <c r="AP76" i="10"/>
  <c r="AP13" i="10"/>
  <c r="AO85" i="10"/>
  <c r="AR85" i="10" s="1"/>
  <c r="AO198" i="10"/>
  <c r="AR198" i="10" s="1"/>
  <c r="AP81" i="10"/>
  <c r="AP69" i="10"/>
  <c r="AP122" i="10"/>
  <c r="AO38" i="10"/>
  <c r="AR38" i="10" s="1"/>
  <c r="AO115" i="10"/>
  <c r="AR115" i="10" s="1"/>
  <c r="AO46" i="10"/>
  <c r="AR46" i="10" s="1"/>
  <c r="AP171" i="10"/>
  <c r="AO127" i="10"/>
  <c r="AR127" i="10" s="1"/>
  <c r="AP28" i="10"/>
  <c r="AO188" i="10"/>
  <c r="AR188" i="10" s="1"/>
  <c r="AP32" i="10"/>
  <c r="AO178" i="10"/>
  <c r="AR178" i="10" s="1"/>
  <c r="AO161" i="10"/>
  <c r="AR161" i="10" s="1"/>
  <c r="AO158" i="10"/>
  <c r="AR158" i="10" s="1"/>
  <c r="AP34" i="10"/>
  <c r="AO22" i="10"/>
  <c r="AR22" i="10" s="1"/>
  <c r="AP112" i="10"/>
  <c r="AP6" i="10"/>
  <c r="AO98" i="10"/>
  <c r="AR98" i="10" s="1"/>
  <c r="AO181" i="10"/>
  <c r="AR181" i="10" s="1"/>
  <c r="AP170" i="10"/>
  <c r="AP41" i="10"/>
  <c r="AO201" i="10"/>
  <c r="AR201" i="10" s="1"/>
  <c r="AP113" i="10"/>
  <c r="AP143" i="10"/>
  <c r="AO202" i="10"/>
  <c r="AR202" i="10" s="1"/>
  <c r="AO74" i="10"/>
  <c r="AR74" i="10" s="1"/>
  <c r="AO61" i="10"/>
  <c r="AR61" i="10" s="1"/>
  <c r="AP26" i="10"/>
  <c r="AO153" i="10"/>
  <c r="AR153" i="10" s="1"/>
  <c r="AP109" i="10"/>
  <c r="AO145" i="10"/>
  <c r="AR145" i="10" s="1"/>
  <c r="AO49" i="10"/>
  <c r="AR49" i="10" s="1"/>
  <c r="AP183" i="10"/>
  <c r="AP60" i="10"/>
  <c r="AP23" i="10"/>
  <c r="AO91" i="10"/>
  <c r="AR91" i="10" s="1"/>
  <c r="AO176" i="10"/>
  <c r="AR176" i="10" s="1"/>
  <c r="AP152" i="10"/>
  <c r="AP117" i="10"/>
  <c r="AP142" i="10"/>
  <c r="AO125" i="10"/>
  <c r="AR125" i="10" s="1"/>
  <c r="AP130" i="10"/>
  <c r="AO97" i="10"/>
  <c r="AR97" i="10" s="1"/>
  <c r="AP102" i="10"/>
  <c r="AP137" i="10"/>
  <c r="AP29" i="10"/>
  <c r="AP146" i="10"/>
  <c r="AO106" i="10"/>
  <c r="AR106" i="10" s="1"/>
  <c r="AP35" i="10"/>
  <c r="AO173" i="10"/>
  <c r="AR173" i="10" s="1"/>
  <c r="AO42" i="10"/>
  <c r="AR42" i="10" s="1"/>
  <c r="AO177" i="10"/>
  <c r="AR177" i="10" s="1"/>
  <c r="AP63" i="10"/>
  <c r="AO187" i="10"/>
  <c r="AR187" i="10" s="1"/>
  <c r="AP191" i="10"/>
  <c r="AP31" i="10"/>
  <c r="AO80" i="10"/>
  <c r="AR80" i="10" s="1"/>
  <c r="AO27" i="10"/>
  <c r="AR27" i="10" s="1"/>
  <c r="AP186" i="10"/>
  <c r="AP8" i="10"/>
  <c r="AP179" i="10"/>
  <c r="AO111" i="10"/>
  <c r="AR111" i="10" s="1"/>
  <c r="AO159" i="10"/>
  <c r="AR159" i="10" s="1"/>
  <c r="AO104" i="10"/>
  <c r="AR104" i="10" s="1"/>
  <c r="AP140" i="10"/>
  <c r="AO78" i="10"/>
  <c r="AR78" i="10" s="1"/>
  <c r="AO50" i="10"/>
  <c r="AR50" i="10" s="1"/>
  <c r="AO168" i="10"/>
  <c r="AR168" i="10" s="1"/>
  <c r="AO10" i="10"/>
  <c r="AR10" i="10" s="1"/>
  <c r="AP105" i="10"/>
  <c r="AP94" i="10"/>
  <c r="AO39" i="10"/>
  <c r="AR39" i="10" s="1"/>
  <c r="AO194" i="10"/>
  <c r="AR194" i="10" s="1"/>
  <c r="AP71" i="10"/>
  <c r="AO165" i="10"/>
  <c r="AR165" i="10" s="1"/>
  <c r="AO93" i="10"/>
  <c r="AR93" i="10" s="1"/>
  <c r="AO70" i="10"/>
  <c r="AR70" i="10" s="1"/>
  <c r="AP169" i="10"/>
  <c r="AO121" i="10"/>
  <c r="AR121" i="10" s="1"/>
  <c r="AO5" i="10"/>
  <c r="AR5" i="10" s="1"/>
  <c r="AO110" i="10"/>
  <c r="AR110" i="10" s="1"/>
  <c r="AO77" i="10"/>
  <c r="AR77" i="10" s="1"/>
  <c r="AO37" i="10"/>
  <c r="AR37" i="10" s="1"/>
  <c r="AO166" i="10"/>
  <c r="AR166" i="10" s="1"/>
  <c r="AO51" i="10"/>
  <c r="AR51" i="10" s="1"/>
  <c r="AP119" i="10"/>
  <c r="AP67" i="10"/>
  <c r="AO88" i="10"/>
  <c r="AR88" i="10" s="1"/>
  <c r="AO19" i="10"/>
  <c r="AR19" i="10" s="1"/>
  <c r="AP163" i="10"/>
  <c r="AP83" i="10"/>
  <c r="AO195" i="10"/>
  <c r="AR195" i="10" s="1"/>
  <c r="AO7" i="10"/>
  <c r="AR7" i="10" s="1"/>
  <c r="AO11" i="10"/>
  <c r="AR11" i="10" s="1"/>
  <c r="AO149" i="10"/>
  <c r="AR149" i="10" s="1"/>
  <c r="AO175" i="10"/>
  <c r="AR175" i="10" s="1"/>
  <c r="AO24" i="10"/>
  <c r="AR24" i="10" s="1"/>
  <c r="AO138" i="10"/>
  <c r="AR138" i="10" s="1"/>
  <c r="AP66" i="10"/>
  <c r="AP129" i="10"/>
  <c r="AP30" i="10"/>
  <c r="AO174" i="10"/>
  <c r="AR174" i="10" s="1"/>
  <c r="AO141" i="10"/>
  <c r="AR141" i="10" s="1"/>
  <c r="AP33" i="10"/>
  <c r="AP114" i="10"/>
  <c r="AO108" i="10"/>
  <c r="AR108" i="10" s="1"/>
  <c r="AP107" i="10"/>
  <c r="AP144" i="10"/>
  <c r="AP136" i="10"/>
  <c r="AP133" i="10"/>
  <c r="AP17" i="10"/>
  <c r="AP48" i="10"/>
  <c r="AP193" i="10"/>
  <c r="AP25" i="10"/>
  <c r="AP190" i="10"/>
  <c r="AO36" i="10"/>
  <c r="AR36" i="10" s="1"/>
  <c r="AO95" i="10"/>
  <c r="AR95" i="10" s="1"/>
  <c r="AP156" i="10"/>
  <c r="AP184" i="10"/>
  <c r="AO197" i="10"/>
  <c r="AR197" i="10" s="1"/>
  <c r="AO9" i="10"/>
  <c r="AR9" i="10" s="1"/>
  <c r="AO62" i="10"/>
  <c r="AR62" i="10" s="1"/>
  <c r="AO162" i="10"/>
  <c r="AR162" i="10" s="1"/>
  <c r="AO99" i="10"/>
  <c r="AR99" i="10" s="1"/>
  <c r="AP120" i="10"/>
  <c r="AO56" i="10"/>
  <c r="AR56" i="10" s="1"/>
  <c r="AP87" i="10"/>
  <c r="AO200" i="10"/>
  <c r="AR200" i="10" s="1"/>
  <c r="AP172" i="10"/>
  <c r="AP4" i="10"/>
  <c r="AP128" i="10"/>
  <c r="AO72" i="10"/>
  <c r="AR72" i="10" s="1"/>
  <c r="AP92" i="10"/>
  <c r="AO160" i="10"/>
  <c r="AR160" i="10" s="1"/>
  <c r="AO20" i="10"/>
  <c r="AR20" i="10" s="1"/>
  <c r="AP96" i="10"/>
  <c r="AO44" i="10"/>
  <c r="AR44" i="10" s="1"/>
  <c r="AP44" i="10"/>
  <c r="AP43" i="10"/>
  <c r="AO43" i="10"/>
  <c r="AR43" i="10" s="1"/>
  <c r="AP53" i="10"/>
  <c r="AO53" i="10"/>
  <c r="AR53" i="10" s="1"/>
  <c r="AO52" i="10"/>
  <c r="AR52" i="10" s="1"/>
  <c r="AP52" i="10"/>
  <c r="AE111" i="10"/>
  <c r="AE119" i="10"/>
  <c r="AE98" i="10"/>
  <c r="AE96" i="10"/>
  <c r="AE106" i="10"/>
  <c r="AE177" i="10"/>
  <c r="AE120" i="10"/>
  <c r="AE198" i="10"/>
  <c r="AE168" i="10"/>
  <c r="AE82" i="10"/>
  <c r="AE63" i="10"/>
  <c r="AE73" i="10"/>
  <c r="AE195" i="10"/>
  <c r="AE77" i="10"/>
  <c r="AE182" i="10"/>
  <c r="AE196" i="10"/>
  <c r="AE147" i="10"/>
  <c r="AE160" i="10"/>
  <c r="AE162" i="10"/>
  <c r="AE191" i="10"/>
  <c r="AE170" i="10"/>
  <c r="AE180" i="10"/>
  <c r="AE131" i="10"/>
  <c r="AE127" i="10"/>
  <c r="AE70" i="10"/>
  <c r="AE118" i="10"/>
  <c r="AE61" i="10"/>
  <c r="AE84" i="10"/>
  <c r="AE141" i="10"/>
  <c r="AE95" i="10"/>
  <c r="AE87" i="10"/>
  <c r="AE102" i="10"/>
  <c r="AE81" i="10"/>
  <c r="AE75" i="10"/>
  <c r="AE99" i="10"/>
  <c r="AE90" i="10"/>
  <c r="AE135" i="10"/>
  <c r="AE134" i="10"/>
  <c r="AE132" i="10"/>
  <c r="AE83" i="10"/>
  <c r="AE161" i="10"/>
  <c r="AE146" i="10"/>
  <c r="AE169" i="10"/>
  <c r="AE193" i="10"/>
  <c r="AE154" i="10"/>
  <c r="AE159" i="10"/>
  <c r="AE109" i="10"/>
  <c r="AE2" i="10"/>
  <c r="AE91" i="10"/>
  <c r="AE133" i="10"/>
  <c r="AE176" i="10"/>
  <c r="AE64" i="10"/>
  <c r="AE107" i="10"/>
  <c r="AE149" i="10"/>
  <c r="AE192" i="10"/>
  <c r="AE69" i="10"/>
  <c r="AE112" i="10"/>
  <c r="AE155" i="10"/>
  <c r="AE197" i="10"/>
  <c r="AE85" i="10"/>
  <c r="AE128" i="10"/>
  <c r="AE171" i="10"/>
  <c r="AE62" i="10"/>
  <c r="AE94" i="10"/>
  <c r="AE126" i="10"/>
  <c r="AE158" i="10"/>
  <c r="AE190" i="10"/>
  <c r="AE79" i="10"/>
  <c r="AE121" i="10"/>
  <c r="AE164" i="10"/>
  <c r="AE60" i="10"/>
  <c r="AE145" i="10"/>
  <c r="AE72" i="10"/>
  <c r="AE115" i="10"/>
  <c r="AE157" i="10"/>
  <c r="AE200" i="10"/>
  <c r="AE140" i="10"/>
  <c r="AE187" i="10"/>
  <c r="AE117" i="10"/>
  <c r="AE78" i="10"/>
  <c r="AE110" i="10"/>
  <c r="AE142" i="10"/>
  <c r="AE174" i="10"/>
  <c r="AE57" i="10"/>
  <c r="AE100" i="10"/>
  <c r="AE143" i="10"/>
  <c r="AE185" i="10"/>
  <c r="AE103" i="10"/>
  <c r="AE188" i="10"/>
  <c r="AE93" i="10"/>
  <c r="AE136" i="10"/>
  <c r="AE179" i="10"/>
  <c r="AE97" i="10"/>
  <c r="AE183" i="10"/>
  <c r="AE101" i="10"/>
  <c r="AD9" i="10"/>
  <c r="AD63" i="10"/>
  <c r="AD74" i="10"/>
  <c r="AD85" i="10"/>
  <c r="AD90" i="10"/>
  <c r="AQ90" i="10" s="1"/>
  <c r="AD58" i="10"/>
  <c r="AD69" i="10"/>
  <c r="AD79" i="10"/>
  <c r="AD57" i="10"/>
  <c r="AF57" i="10" s="1"/>
  <c r="AG57" i="10" s="1"/>
  <c r="AD78" i="10"/>
  <c r="AD95" i="10"/>
  <c r="AF95" i="10" s="1"/>
  <c r="AG95" i="10" s="1"/>
  <c r="AD106" i="10"/>
  <c r="AD117" i="10"/>
  <c r="AD127" i="10"/>
  <c r="AD138" i="10"/>
  <c r="AD149" i="10"/>
  <c r="AD159" i="10"/>
  <c r="AD170" i="10"/>
  <c r="AF170" i="10" s="1"/>
  <c r="AG170" i="10" s="1"/>
  <c r="AD181" i="10"/>
  <c r="AD191" i="10"/>
  <c r="AD202" i="10"/>
  <c r="AD73" i="10"/>
  <c r="AD105" i="10"/>
  <c r="AD126" i="10"/>
  <c r="AD147" i="10"/>
  <c r="AD179" i="10"/>
  <c r="AD201" i="10"/>
  <c r="AD89" i="10"/>
  <c r="AD111" i="10"/>
  <c r="AD133" i="10"/>
  <c r="AD154" i="10"/>
  <c r="AD175" i="10"/>
  <c r="AD197" i="10"/>
  <c r="AD62" i="10"/>
  <c r="AD83" i="10"/>
  <c r="AD99" i="10"/>
  <c r="AQ99" i="10" s="1"/>
  <c r="AD110" i="10"/>
  <c r="AD121" i="10"/>
  <c r="AD131" i="10"/>
  <c r="AD142" i="10"/>
  <c r="AD153" i="10"/>
  <c r="AD163" i="10"/>
  <c r="AD174" i="10"/>
  <c r="AD185" i="10"/>
  <c r="AF185" i="10" s="1"/>
  <c r="AG185" i="10" s="1"/>
  <c r="AD195" i="10"/>
  <c r="AD94" i="10"/>
  <c r="AD115" i="10"/>
  <c r="AD137" i="10"/>
  <c r="AD158" i="10"/>
  <c r="AD169" i="10"/>
  <c r="AD190" i="10"/>
  <c r="AD67" i="10"/>
  <c r="AD101" i="10"/>
  <c r="AD122" i="10"/>
  <c r="AD143" i="10"/>
  <c r="AF143" i="10" s="1"/>
  <c r="AG143" i="10" s="1"/>
  <c r="AD165" i="10"/>
  <c r="AD186" i="10"/>
  <c r="AD60" i="10"/>
  <c r="AD76" i="10"/>
  <c r="AD92" i="10"/>
  <c r="AD108" i="10"/>
  <c r="AD124" i="10"/>
  <c r="AD140" i="10"/>
  <c r="AD156" i="10"/>
  <c r="AD172" i="10"/>
  <c r="AD188" i="10"/>
  <c r="AQ188" i="10" s="1"/>
  <c r="AD193" i="10"/>
  <c r="AD171" i="10"/>
  <c r="AD150" i="10"/>
  <c r="AD129" i="10"/>
  <c r="AD107" i="10"/>
  <c r="AD86" i="10"/>
  <c r="AD65" i="10"/>
  <c r="AD189" i="10"/>
  <c r="AD167" i="10"/>
  <c r="AD146" i="10"/>
  <c r="AD125" i="10"/>
  <c r="AD103" i="10"/>
  <c r="AD82" i="10"/>
  <c r="AF82" i="10" s="1"/>
  <c r="AG82" i="10" s="1"/>
  <c r="AD61" i="10"/>
  <c r="AQ61" i="10" s="1"/>
  <c r="AD72" i="10"/>
  <c r="AD104" i="10"/>
  <c r="AD136" i="10"/>
  <c r="AD168" i="10"/>
  <c r="AD200" i="10"/>
  <c r="AQ200" i="10" s="1"/>
  <c r="AD198" i="10"/>
  <c r="AD155" i="10"/>
  <c r="AQ155" i="10" s="1"/>
  <c r="AD113" i="10"/>
  <c r="AD70" i="10"/>
  <c r="AD173" i="10"/>
  <c r="AD130" i="10"/>
  <c r="AD87" i="10"/>
  <c r="AD68" i="10"/>
  <c r="AD100" i="10"/>
  <c r="AQ100" i="10" s="1"/>
  <c r="AD132" i="10"/>
  <c r="AD164" i="10"/>
  <c r="AD196" i="10"/>
  <c r="AD161" i="10"/>
  <c r="AF161" i="10" s="1"/>
  <c r="AG161" i="10" s="1"/>
  <c r="AD139" i="10"/>
  <c r="AD97" i="10"/>
  <c r="AD199" i="10"/>
  <c r="AD157" i="10"/>
  <c r="AD114" i="10"/>
  <c r="AD71" i="10"/>
  <c r="AD64" i="10"/>
  <c r="AF64" i="10" s="1"/>
  <c r="AG64" i="10" s="1"/>
  <c r="AD80" i="10"/>
  <c r="AD96" i="10"/>
  <c r="AD112" i="10"/>
  <c r="AD128" i="10"/>
  <c r="AD144" i="10"/>
  <c r="AD160" i="10"/>
  <c r="AF160" i="10" s="1"/>
  <c r="AG160" i="10" s="1"/>
  <c r="AD176" i="10"/>
  <c r="AD192" i="10"/>
  <c r="AD187" i="10"/>
  <c r="AD166" i="10"/>
  <c r="AD145" i="10"/>
  <c r="AD123" i="10"/>
  <c r="AD102" i="10"/>
  <c r="AD81" i="10"/>
  <c r="AD59" i="10"/>
  <c r="AD183" i="10"/>
  <c r="AD162" i="10"/>
  <c r="AD141" i="10"/>
  <c r="AD119" i="10"/>
  <c r="AD98" i="10"/>
  <c r="AD77" i="10"/>
  <c r="AD88" i="10"/>
  <c r="AD120" i="10"/>
  <c r="AF120" i="10" s="1"/>
  <c r="AG120" i="10" s="1"/>
  <c r="AD152" i="10"/>
  <c r="AD184" i="10"/>
  <c r="AD177" i="10"/>
  <c r="AF177" i="10" s="1"/>
  <c r="AG177" i="10" s="1"/>
  <c r="AD134" i="10"/>
  <c r="AD91" i="10"/>
  <c r="AD194" i="10"/>
  <c r="AD151" i="10"/>
  <c r="AQ151" i="10" s="1"/>
  <c r="AD109" i="10"/>
  <c r="AF109" i="10" s="1"/>
  <c r="AG109" i="10" s="1"/>
  <c r="AD66" i="10"/>
  <c r="AD84" i="10"/>
  <c r="AD116" i="10"/>
  <c r="AD148" i="10"/>
  <c r="AD180" i="10"/>
  <c r="AD182" i="10"/>
  <c r="AD118" i="10"/>
  <c r="AF118" i="10" s="1"/>
  <c r="AG118" i="10" s="1"/>
  <c r="AD75" i="10"/>
  <c r="AD178" i="10"/>
  <c r="AD135" i="10"/>
  <c r="AF135" i="10" s="1"/>
  <c r="AG135" i="10" s="1"/>
  <c r="AD93" i="10"/>
  <c r="AQ93" i="10" s="1"/>
  <c r="AE86" i="10"/>
  <c r="AE150" i="10"/>
  <c r="AE68" i="10"/>
  <c r="AE153" i="10"/>
  <c r="AE124" i="10"/>
  <c r="AE104" i="10"/>
  <c r="AE189" i="10"/>
  <c r="AE144" i="10"/>
  <c r="AE114" i="10"/>
  <c r="AE178" i="10"/>
  <c r="AE105" i="10"/>
  <c r="AE113" i="10"/>
  <c r="AE184" i="10"/>
  <c r="AE165" i="10"/>
  <c r="AE58" i="10"/>
  <c r="AE122" i="10"/>
  <c r="AE186" i="10"/>
  <c r="AE116" i="10"/>
  <c r="AE201" i="10"/>
  <c r="AE67" i="10"/>
  <c r="AE152" i="10"/>
  <c r="AE129" i="10"/>
  <c r="AE71" i="10"/>
  <c r="AE163" i="10"/>
  <c r="AE181" i="10"/>
  <c r="AE166" i="10"/>
  <c r="AE89" i="10"/>
  <c r="AE175" i="10"/>
  <c r="AE167" i="10"/>
  <c r="AE125" i="10"/>
  <c r="AE76" i="10"/>
  <c r="AE59" i="10"/>
  <c r="AE66" i="10"/>
  <c r="AE130" i="10"/>
  <c r="AE194" i="10"/>
  <c r="AE148" i="10"/>
  <c r="AE199" i="10"/>
  <c r="AE108" i="10"/>
  <c r="AE74" i="10"/>
  <c r="AE138" i="10"/>
  <c r="AE202" i="10"/>
  <c r="AE137" i="10"/>
  <c r="AE92" i="10"/>
  <c r="AE88" i="10"/>
  <c r="AE173" i="10"/>
  <c r="AE172" i="10"/>
  <c r="AE123" i="10"/>
  <c r="AE139" i="10"/>
  <c r="AE156" i="10"/>
  <c r="AE65" i="10"/>
  <c r="AE80" i="10"/>
  <c r="AE43" i="10"/>
  <c r="AD19" i="10"/>
  <c r="AD16" i="10"/>
  <c r="AD11" i="10"/>
  <c r="AD54" i="10"/>
  <c r="AD4" i="10"/>
  <c r="AD52" i="10"/>
  <c r="AD49" i="10"/>
  <c r="AE18" i="10"/>
  <c r="AD34" i="10"/>
  <c r="AD48" i="10"/>
  <c r="AD14" i="10"/>
  <c r="AD33" i="10"/>
  <c r="AD51" i="10"/>
  <c r="AD20" i="10"/>
  <c r="AD47" i="10"/>
  <c r="AD29" i="10"/>
  <c r="AE56" i="10"/>
  <c r="AE49" i="10"/>
  <c r="AE37" i="10"/>
  <c r="AD43" i="10"/>
  <c r="AF43" i="10" s="1"/>
  <c r="AG43" i="10" s="1"/>
  <c r="AD36" i="10"/>
  <c r="AD22" i="10"/>
  <c r="AD3" i="10"/>
  <c r="AD17" i="10"/>
  <c r="AE6" i="10"/>
  <c r="AE5" i="10"/>
  <c r="AD26" i="10"/>
  <c r="AD15" i="10"/>
  <c r="AD32" i="10"/>
  <c r="AD50" i="10"/>
  <c r="AD39" i="10"/>
  <c r="AD45" i="10"/>
  <c r="AD13" i="10"/>
  <c r="AE12" i="10"/>
  <c r="AE23" i="10"/>
  <c r="AE25" i="10"/>
  <c r="AD38" i="10"/>
  <c r="AD6" i="10"/>
  <c r="AD27" i="10"/>
  <c r="AD56" i="10"/>
  <c r="AD40" i="10"/>
  <c r="AD24" i="10"/>
  <c r="AD8" i="10"/>
  <c r="AD30" i="10"/>
  <c r="AD55" i="10"/>
  <c r="AD23" i="10"/>
  <c r="AD53" i="10"/>
  <c r="AD37" i="10"/>
  <c r="AD21" i="10"/>
  <c r="AD5" i="10"/>
  <c r="AF5" i="10" s="1"/>
  <c r="AG5" i="10" s="1"/>
  <c r="AE32" i="10"/>
  <c r="AE3" i="10"/>
  <c r="AE4" i="10"/>
  <c r="AD46" i="10"/>
  <c r="AD18" i="10"/>
  <c r="AD35" i="10"/>
  <c r="AD7" i="10"/>
  <c r="AD44" i="10"/>
  <c r="AD28" i="10"/>
  <c r="AD12" i="10"/>
  <c r="AD42" i="10"/>
  <c r="AD10" i="10"/>
  <c r="AD31" i="10"/>
  <c r="AD2" i="10"/>
  <c r="AD41" i="10"/>
  <c r="AD25" i="10"/>
  <c r="AE33" i="10"/>
  <c r="AE54" i="10"/>
  <c r="AE51" i="10"/>
  <c r="AE53" i="10"/>
  <c r="AE36" i="10"/>
  <c r="AE7" i="10"/>
  <c r="AE8" i="10"/>
  <c r="AE20" i="10"/>
  <c r="AE22" i="10"/>
  <c r="AE13" i="10"/>
  <c r="AE44" i="10"/>
  <c r="AE34" i="10"/>
  <c r="AE31" i="10"/>
  <c r="AE10" i="10"/>
  <c r="AE9" i="10"/>
  <c r="AE30" i="10"/>
  <c r="AE28" i="10"/>
  <c r="AE14" i="10"/>
  <c r="AE46" i="10"/>
  <c r="AE11" i="10"/>
  <c r="AE17" i="10"/>
  <c r="AE27" i="10"/>
  <c r="AE45" i="10"/>
  <c r="AE24" i="10"/>
  <c r="AE40" i="10"/>
  <c r="AE15" i="10"/>
  <c r="AE55" i="10"/>
  <c r="AE47" i="10"/>
  <c r="AE52" i="10"/>
  <c r="AE38" i="10"/>
  <c r="AE29" i="10"/>
  <c r="AE19" i="10"/>
  <c r="AE50" i="10"/>
  <c r="AE21" i="10"/>
  <c r="AE42" i="10"/>
  <c r="AE41" i="10"/>
  <c r="AE16" i="10"/>
  <c r="AE26" i="10"/>
  <c r="AE48" i="10"/>
  <c r="AE35" i="10"/>
  <c r="AE39" i="10"/>
  <c r="AF75" i="10" l="1"/>
  <c r="AG75" i="10" s="1"/>
  <c r="AF134" i="10"/>
  <c r="AG134" i="10" s="1"/>
  <c r="AF119" i="10"/>
  <c r="AG119" i="10" s="1"/>
  <c r="AF164" i="10"/>
  <c r="AG164" i="10" s="1"/>
  <c r="AF146" i="10"/>
  <c r="AG146" i="10" s="1"/>
  <c r="AF171" i="10"/>
  <c r="AG171" i="10" s="1"/>
  <c r="AF142" i="10"/>
  <c r="AG142" i="10" s="1"/>
  <c r="AF149" i="10"/>
  <c r="AG149" i="10" s="1"/>
  <c r="AQ196" i="10"/>
  <c r="AF141" i="10"/>
  <c r="AG141" i="10" s="1"/>
  <c r="AF81" i="10"/>
  <c r="AG81" i="10" s="1"/>
  <c r="AF107" i="10"/>
  <c r="AG107" i="10" s="1"/>
  <c r="AF140" i="10"/>
  <c r="AG140" i="10" s="1"/>
  <c r="AF154" i="10"/>
  <c r="AG154" i="10" s="1"/>
  <c r="AF91" i="10"/>
  <c r="AG91" i="10" s="1"/>
  <c r="AF128" i="10"/>
  <c r="AG128" i="10" s="1"/>
  <c r="AF70" i="10"/>
  <c r="AG70" i="10" s="1"/>
  <c r="AF72" i="10"/>
  <c r="AG72" i="10" s="1"/>
  <c r="AF195" i="10"/>
  <c r="AG195" i="10" s="1"/>
  <c r="AF110" i="10"/>
  <c r="AG110" i="10" s="1"/>
  <c r="AF111" i="10"/>
  <c r="AG111" i="10" s="1"/>
  <c r="AF147" i="10"/>
  <c r="AG147" i="10" s="1"/>
  <c r="AF7" i="10"/>
  <c r="AG7" i="10" s="1"/>
  <c r="AF112" i="10"/>
  <c r="AG112" i="10" s="1"/>
  <c r="AF97" i="10"/>
  <c r="AG97" i="10" s="1"/>
  <c r="AF168" i="10"/>
  <c r="AG168" i="10" s="1"/>
  <c r="AF126" i="10"/>
  <c r="AG126" i="10" s="1"/>
  <c r="AF106" i="10"/>
  <c r="AG106" i="10" s="1"/>
  <c r="AF145" i="10"/>
  <c r="AG145" i="10" s="1"/>
  <c r="AF191" i="10"/>
  <c r="AG191" i="10" s="1"/>
  <c r="AF79" i="10"/>
  <c r="AG79" i="10" s="1"/>
  <c r="AF85" i="10"/>
  <c r="AG85" i="10" s="1"/>
  <c r="AF186" i="10"/>
  <c r="AG186" i="10" s="1"/>
  <c r="AF2" i="10"/>
  <c r="AG2" i="10" s="1"/>
  <c r="AF37" i="10"/>
  <c r="AG37" i="10" s="1"/>
  <c r="AF122" i="10"/>
  <c r="AG122" i="10" s="1"/>
  <c r="AF96" i="10"/>
  <c r="AG96" i="10" s="1"/>
  <c r="AF130" i="10"/>
  <c r="AG130" i="10" s="1"/>
  <c r="AF193" i="10"/>
  <c r="AG193" i="10" s="1"/>
  <c r="AF83" i="10"/>
  <c r="AG83" i="10" s="1"/>
  <c r="AF69" i="10"/>
  <c r="AG69" i="10" s="1"/>
  <c r="AF74" i="10"/>
  <c r="AG74" i="10" s="1"/>
  <c r="AF84" i="10"/>
  <c r="AG84" i="10" s="1"/>
  <c r="AF102" i="10"/>
  <c r="AG102" i="10" s="1"/>
  <c r="AF198" i="10"/>
  <c r="AG198" i="10" s="1"/>
  <c r="AF103" i="10"/>
  <c r="AG103" i="10" s="1"/>
  <c r="AF94" i="10"/>
  <c r="AG94" i="10" s="1"/>
  <c r="AF179" i="10"/>
  <c r="AG179" i="10" s="1"/>
  <c r="AF73" i="10"/>
  <c r="AG73" i="10" s="1"/>
  <c r="AF127" i="10"/>
  <c r="AG127" i="10" s="1"/>
  <c r="AF78" i="10"/>
  <c r="AG78" i="10" s="1"/>
  <c r="AF31" i="10"/>
  <c r="AG31" i="10" s="1"/>
  <c r="AF182" i="10"/>
  <c r="AG182" i="10" s="1"/>
  <c r="AF77" i="10"/>
  <c r="AG77" i="10" s="1"/>
  <c r="AF162" i="10"/>
  <c r="AG162" i="10" s="1"/>
  <c r="AF187" i="10"/>
  <c r="AG187" i="10" s="1"/>
  <c r="AF157" i="10"/>
  <c r="AG157" i="10" s="1"/>
  <c r="AF104" i="10"/>
  <c r="AG104" i="10" s="1"/>
  <c r="AF60" i="10"/>
  <c r="AG60" i="10" s="1"/>
  <c r="AF169" i="10"/>
  <c r="AG169" i="10" s="1"/>
  <c r="AF133" i="10"/>
  <c r="AG133" i="10" s="1"/>
  <c r="AF63" i="10"/>
  <c r="AG63" i="10" s="1"/>
  <c r="AF190" i="10"/>
  <c r="AG190" i="10" s="1"/>
  <c r="AF25" i="10"/>
  <c r="AG25" i="10" s="1"/>
  <c r="AF10" i="10"/>
  <c r="AG10" i="10" s="1"/>
  <c r="AF23" i="10"/>
  <c r="AG23" i="10" s="1"/>
  <c r="AF6" i="10"/>
  <c r="AG6" i="10" s="1"/>
  <c r="AF180" i="10"/>
  <c r="AG180" i="10" s="1"/>
  <c r="AF183" i="10"/>
  <c r="AG183" i="10" s="1"/>
  <c r="AF192" i="10"/>
  <c r="AG192" i="10" s="1"/>
  <c r="AF172" i="10"/>
  <c r="AG172" i="10" s="1"/>
  <c r="AF158" i="10"/>
  <c r="AG158" i="10" s="1"/>
  <c r="AF197" i="10"/>
  <c r="AG197" i="10" s="1"/>
  <c r="AF159" i="10"/>
  <c r="AG159" i="10" s="1"/>
  <c r="AF117" i="10"/>
  <c r="AG117" i="10" s="1"/>
  <c r="AF28" i="10"/>
  <c r="AG28" i="10" s="1"/>
  <c r="AF53" i="10"/>
  <c r="AG53" i="10" s="1"/>
  <c r="AF27" i="10"/>
  <c r="AG27" i="10" s="1"/>
  <c r="AF39" i="10"/>
  <c r="AG39" i="10" s="1"/>
  <c r="AF3" i="10"/>
  <c r="AG3" i="10" s="1"/>
  <c r="AF14" i="10"/>
  <c r="AG14" i="10" s="1"/>
  <c r="AF49" i="10"/>
  <c r="AG49" i="10" s="1"/>
  <c r="AF11" i="10"/>
  <c r="AG11" i="10" s="1"/>
  <c r="AF194" i="10"/>
  <c r="AG194" i="10" s="1"/>
  <c r="AF184" i="10"/>
  <c r="AG184" i="10" s="1"/>
  <c r="AF144" i="10"/>
  <c r="AG144" i="10" s="1"/>
  <c r="AF80" i="10"/>
  <c r="AG80" i="10" s="1"/>
  <c r="AF189" i="10"/>
  <c r="AG189" i="10" s="1"/>
  <c r="AF129" i="10"/>
  <c r="AG129" i="10" s="1"/>
  <c r="AF124" i="10"/>
  <c r="AG124" i="10" s="1"/>
  <c r="AF163" i="10"/>
  <c r="AG163" i="10" s="1"/>
  <c r="AF58" i="10"/>
  <c r="AG58" i="10" s="1"/>
  <c r="AF93" i="10"/>
  <c r="AG93" i="10" s="1"/>
  <c r="AF24" i="10"/>
  <c r="AG24" i="10" s="1"/>
  <c r="AF50" i="10"/>
  <c r="AG50" i="10" s="1"/>
  <c r="AF22" i="10"/>
  <c r="AG22" i="10" s="1"/>
  <c r="AF48" i="10"/>
  <c r="AG48" i="10" s="1"/>
  <c r="AF52" i="10"/>
  <c r="AG52" i="10" s="1"/>
  <c r="AF16" i="10"/>
  <c r="AG16" i="10" s="1"/>
  <c r="AF178" i="10"/>
  <c r="AG178" i="10" s="1"/>
  <c r="AF66" i="10"/>
  <c r="AG66" i="10" s="1"/>
  <c r="AF152" i="10"/>
  <c r="AG152" i="10" s="1"/>
  <c r="AF123" i="10"/>
  <c r="AG123" i="10" s="1"/>
  <c r="AF68" i="10"/>
  <c r="AG68" i="10" s="1"/>
  <c r="AF65" i="10"/>
  <c r="AG65" i="10" s="1"/>
  <c r="AF150" i="10"/>
  <c r="AG150" i="10" s="1"/>
  <c r="AF108" i="10"/>
  <c r="AG108" i="10" s="1"/>
  <c r="AF153" i="10"/>
  <c r="AG153" i="10" s="1"/>
  <c r="AF202" i="10"/>
  <c r="AG202" i="10" s="1"/>
  <c r="AF9" i="10"/>
  <c r="AG9" i="10" s="1"/>
  <c r="AF100" i="10"/>
  <c r="AG100" i="10" s="1"/>
  <c r="AF41" i="10"/>
  <c r="AG41" i="10" s="1"/>
  <c r="AF42" i="10"/>
  <c r="AG42" i="10" s="1"/>
  <c r="AF55" i="10"/>
  <c r="AG55" i="10" s="1"/>
  <c r="AF40" i="10"/>
  <c r="AG40" i="10" s="1"/>
  <c r="AF38" i="10"/>
  <c r="AG38" i="10" s="1"/>
  <c r="AF32" i="10"/>
  <c r="AG32" i="10" s="1"/>
  <c r="AF36" i="10"/>
  <c r="AG36" i="10" s="1"/>
  <c r="AF51" i="10"/>
  <c r="AG51" i="10" s="1"/>
  <c r="AF34" i="10"/>
  <c r="AG34" i="10" s="1"/>
  <c r="AF4" i="10"/>
  <c r="AG4" i="10" s="1"/>
  <c r="AF19" i="10"/>
  <c r="AG19" i="10" s="1"/>
  <c r="AF148" i="10"/>
  <c r="AG148" i="10" s="1"/>
  <c r="AF59" i="10"/>
  <c r="AG59" i="10" s="1"/>
  <c r="AF71" i="10"/>
  <c r="AG71" i="10" s="1"/>
  <c r="AF92" i="10"/>
  <c r="AG92" i="10" s="1"/>
  <c r="AF165" i="10"/>
  <c r="AG165" i="10" s="1"/>
  <c r="AF67" i="10"/>
  <c r="AG67" i="10" s="1"/>
  <c r="AF137" i="10"/>
  <c r="AG137" i="10" s="1"/>
  <c r="AF175" i="10"/>
  <c r="AG175" i="10" s="1"/>
  <c r="AF89" i="10"/>
  <c r="AG89" i="10" s="1"/>
  <c r="AF132" i="10"/>
  <c r="AG132" i="10" s="1"/>
  <c r="AF131" i="10"/>
  <c r="AG131" i="10" s="1"/>
  <c r="AF98" i="10"/>
  <c r="AG98" i="10" s="1"/>
  <c r="AF12" i="10"/>
  <c r="AG12" i="10" s="1"/>
  <c r="AF35" i="10"/>
  <c r="AG35" i="10" s="1"/>
  <c r="AF30" i="10"/>
  <c r="AG30" i="10" s="1"/>
  <c r="AF56" i="10"/>
  <c r="AG56" i="10" s="1"/>
  <c r="AF45" i="10"/>
  <c r="AG45" i="10" s="1"/>
  <c r="AF15" i="10"/>
  <c r="AG15" i="10" s="1"/>
  <c r="AF17" i="10"/>
  <c r="AG17" i="10" s="1"/>
  <c r="AF29" i="10"/>
  <c r="AG29" i="10" s="1"/>
  <c r="AF33" i="10"/>
  <c r="AG33" i="10" s="1"/>
  <c r="AF18" i="10"/>
  <c r="AG18" i="10" s="1"/>
  <c r="AF88" i="10"/>
  <c r="AG88" i="10" s="1"/>
  <c r="AF166" i="10"/>
  <c r="AG166" i="10" s="1"/>
  <c r="AF167" i="10"/>
  <c r="AG167" i="10" s="1"/>
  <c r="AF76" i="10"/>
  <c r="AG76" i="10" s="1"/>
  <c r="AF201" i="10"/>
  <c r="AG201" i="10" s="1"/>
  <c r="AF105" i="10"/>
  <c r="AG105" i="10" s="1"/>
  <c r="AF181" i="10"/>
  <c r="AG181" i="10" s="1"/>
  <c r="AF138" i="10"/>
  <c r="AG138" i="10" s="1"/>
  <c r="AQ115" i="10"/>
  <c r="AF115" i="10"/>
  <c r="AG115" i="10" s="1"/>
  <c r="AF116" i="10"/>
  <c r="AG116" i="10" s="1"/>
  <c r="AF114" i="10"/>
  <c r="AG114" i="10" s="1"/>
  <c r="AF139" i="10"/>
  <c r="AG139" i="10" s="1"/>
  <c r="AF136" i="10"/>
  <c r="AG136" i="10" s="1"/>
  <c r="AF174" i="10"/>
  <c r="AG174" i="10" s="1"/>
  <c r="AF196" i="10"/>
  <c r="AG196" i="10" s="1"/>
  <c r="AF99" i="10"/>
  <c r="AG99" i="10" s="1"/>
  <c r="AF188" i="10"/>
  <c r="AG188" i="10" s="1"/>
  <c r="AQ176" i="10"/>
  <c r="AF176" i="10"/>
  <c r="AG176" i="10" s="1"/>
  <c r="AF54" i="10"/>
  <c r="AG54" i="10" s="1"/>
  <c r="AF13" i="10"/>
  <c r="AG13" i="10" s="1"/>
  <c r="AF113" i="10"/>
  <c r="AG113" i="10" s="1"/>
  <c r="AF156" i="10"/>
  <c r="AG156" i="10" s="1"/>
  <c r="AF199" i="10"/>
  <c r="AG199" i="10" s="1"/>
  <c r="AF125" i="10"/>
  <c r="AG125" i="10" s="1"/>
  <c r="AF101" i="10"/>
  <c r="AG101" i="10" s="1"/>
  <c r="AF151" i="10"/>
  <c r="AG151" i="10" s="1"/>
  <c r="AF155" i="10"/>
  <c r="AG155" i="10" s="1"/>
  <c r="AF200" i="10"/>
  <c r="AG200" i="10" s="1"/>
  <c r="AQ87" i="10"/>
  <c r="AF87" i="10"/>
  <c r="AG87" i="10" s="1"/>
  <c r="AQ121" i="10"/>
  <c r="AF121" i="10"/>
  <c r="AG121" i="10" s="1"/>
  <c r="AF21" i="10"/>
  <c r="AG21" i="10" s="1"/>
  <c r="AF86" i="10"/>
  <c r="AG86" i="10" s="1"/>
  <c r="AF61" i="10"/>
  <c r="AG61" i="10" s="1"/>
  <c r="AF44" i="10"/>
  <c r="AG44" i="10" s="1"/>
  <c r="AF46" i="10"/>
  <c r="AG46" i="10" s="1"/>
  <c r="AF20" i="10"/>
  <c r="AG20" i="10" s="1"/>
  <c r="AF8" i="10"/>
  <c r="AG8" i="10" s="1"/>
  <c r="AF26" i="10"/>
  <c r="AG26" i="10" s="1"/>
  <c r="AF47" i="10"/>
  <c r="AG47" i="10" s="1"/>
  <c r="AF173" i="10"/>
  <c r="AG173" i="10" s="1"/>
  <c r="AF62" i="10"/>
  <c r="AG62" i="10" s="1"/>
  <c r="AF90" i="10"/>
  <c r="AG90" i="10" s="1"/>
  <c r="AQ79" i="10"/>
  <c r="AQ175" i="10"/>
  <c r="AQ59" i="10"/>
  <c r="AQ145" i="10"/>
  <c r="AQ191" i="10"/>
  <c r="AQ85" i="10"/>
  <c r="AQ123" i="10"/>
  <c r="AQ65" i="10"/>
  <c r="AQ159" i="10"/>
  <c r="AQ64" i="10"/>
  <c r="AQ185" i="10"/>
  <c r="AQ172" i="10"/>
  <c r="AQ193" i="10"/>
  <c r="AQ143" i="10"/>
  <c r="AQ120" i="10"/>
  <c r="AQ109" i="10"/>
  <c r="AQ129" i="10"/>
  <c r="AQ96" i="10"/>
  <c r="AQ83" i="10"/>
  <c r="AQ57" i="10"/>
  <c r="AQ84" i="10"/>
  <c r="AQ102" i="10"/>
  <c r="AQ198" i="10"/>
  <c r="AQ73" i="10"/>
  <c r="AQ127" i="10"/>
  <c r="AQ51" i="10"/>
  <c r="AQ20" i="10"/>
  <c r="AQ86" i="10"/>
  <c r="AQ101" i="10"/>
  <c r="AQ197" i="10"/>
  <c r="AQ192" i="10"/>
  <c r="AQ4" i="10"/>
  <c r="AH5" i="10"/>
  <c r="AI5" i="10" s="1"/>
  <c r="AQ5" i="10"/>
  <c r="AQ15" i="10"/>
  <c r="AQ54" i="10"/>
  <c r="AH43" i="10"/>
  <c r="AI43" i="10" s="1"/>
  <c r="AQ43" i="10"/>
  <c r="AQ75" i="10"/>
  <c r="AQ182" i="10"/>
  <c r="AQ162" i="10"/>
  <c r="AQ169" i="10"/>
  <c r="AQ107" i="10"/>
  <c r="AQ111" i="10"/>
  <c r="AQ134" i="10"/>
  <c r="AQ146" i="10"/>
  <c r="AQ132" i="10"/>
  <c r="AQ71" i="10"/>
  <c r="AH103" i="10"/>
  <c r="AI103" i="10" s="1"/>
  <c r="AH82" i="10"/>
  <c r="AI82" i="10" s="1"/>
  <c r="AQ190" i="10"/>
  <c r="AH143" i="10"/>
  <c r="AI143" i="10" s="1"/>
  <c r="AH109" i="10"/>
  <c r="AI109" i="10" s="1"/>
  <c r="AQ114" i="10"/>
  <c r="AQ74" i="10"/>
  <c r="AQ148" i="10"/>
  <c r="AQ112" i="10"/>
  <c r="AQ164" i="10"/>
  <c r="AQ156" i="10"/>
  <c r="AQ92" i="10"/>
  <c r="AQ67" i="10"/>
  <c r="AQ142" i="10"/>
  <c r="AH120" i="10"/>
  <c r="AI120" i="10" s="1"/>
  <c r="AH185" i="10"/>
  <c r="AI185" i="10" s="1"/>
  <c r="AH64" i="10"/>
  <c r="AI64" i="10" s="1"/>
  <c r="AQ189" i="10"/>
  <c r="AQ116" i="10"/>
  <c r="AQ181" i="10"/>
  <c r="AQ178" i="10"/>
  <c r="AQ152" i="10"/>
  <c r="AQ128" i="10"/>
  <c r="AQ199" i="10"/>
  <c r="AQ108" i="10"/>
  <c r="AQ186" i="10"/>
  <c r="AQ158" i="10"/>
  <c r="AQ110" i="10"/>
  <c r="AQ202" i="10"/>
  <c r="AH4" i="10" l="1"/>
  <c r="AI4" i="10" s="1"/>
  <c r="AT4" i="10" s="1"/>
  <c r="AH141" i="10"/>
  <c r="AI141" i="10" s="1"/>
  <c r="AH106" i="10"/>
  <c r="AI106" i="10" s="1"/>
  <c r="AH196" i="10"/>
  <c r="AI196" i="10" s="1"/>
  <c r="AT196" i="10" s="1"/>
  <c r="AH105" i="10"/>
  <c r="AI105" i="10" s="1"/>
  <c r="AH155" i="10"/>
  <c r="AI155" i="10" s="1"/>
  <c r="AT155" i="10" s="1"/>
  <c r="AH72" i="10"/>
  <c r="AI72" i="10" s="1"/>
  <c r="AH61" i="10"/>
  <c r="AI61" i="10" s="1"/>
  <c r="AT61" i="10" s="1"/>
  <c r="AH88" i="10"/>
  <c r="AI88" i="10" s="1"/>
  <c r="AH131" i="10"/>
  <c r="AI131" i="10" s="1"/>
  <c r="AH20" i="10"/>
  <c r="AI20" i="10" s="1"/>
  <c r="AT20" i="10" s="1"/>
  <c r="AH176" i="10"/>
  <c r="AI176" i="10" s="1"/>
  <c r="AT176" i="10" s="1"/>
  <c r="AH68" i="10"/>
  <c r="AI68" i="10" s="1"/>
  <c r="AH195" i="10"/>
  <c r="AI195" i="10" s="1"/>
  <c r="AH11" i="10"/>
  <c r="AI11" i="10" s="1"/>
  <c r="AH183" i="10"/>
  <c r="AI183" i="10" s="1"/>
  <c r="AH150" i="10"/>
  <c r="AI150" i="10" s="1"/>
  <c r="AH99" i="10"/>
  <c r="AI99" i="10" s="1"/>
  <c r="AT99" i="10" s="1"/>
  <c r="AH93" i="10"/>
  <c r="AI93" i="10" s="1"/>
  <c r="AT93" i="10" s="1"/>
  <c r="AH104" i="10"/>
  <c r="AI104" i="10" s="1"/>
  <c r="AH69" i="10"/>
  <c r="AI69" i="10" s="1"/>
  <c r="AH54" i="10"/>
  <c r="AI54" i="10" s="1"/>
  <c r="AT54" i="10" s="1"/>
  <c r="AH129" i="10"/>
  <c r="AI129" i="10" s="1"/>
  <c r="AT129" i="10" s="1"/>
  <c r="AH15" i="10"/>
  <c r="AI15" i="10" s="1"/>
  <c r="AT15" i="10" s="1"/>
  <c r="AH151" i="10"/>
  <c r="AI151" i="10" s="1"/>
  <c r="AT151" i="10" s="1"/>
  <c r="AH51" i="10"/>
  <c r="AI51" i="10" s="1"/>
  <c r="AT51" i="10" s="1"/>
  <c r="AH87" i="10"/>
  <c r="AI87" i="10" s="1"/>
  <c r="AT87" i="10" s="1"/>
  <c r="AH100" i="10"/>
  <c r="AI100" i="10" s="1"/>
  <c r="AT100" i="10" s="1"/>
  <c r="AH175" i="10"/>
  <c r="AI175" i="10" s="1"/>
  <c r="AT175" i="10" s="1"/>
  <c r="AH90" i="10"/>
  <c r="AI90" i="10" s="1"/>
  <c r="AT90" i="10" s="1"/>
  <c r="AH115" i="10"/>
  <c r="AI115" i="10" s="1"/>
  <c r="AT115" i="10" s="1"/>
  <c r="AH200" i="10"/>
  <c r="AI200" i="10" s="1"/>
  <c r="AT200" i="10" s="1"/>
  <c r="AH188" i="10"/>
  <c r="AI188" i="10" s="1"/>
  <c r="AT188" i="10" s="1"/>
  <c r="AH121" i="10"/>
  <c r="AI121" i="10" s="1"/>
  <c r="AT121" i="10" s="1"/>
  <c r="AJ79" i="10"/>
  <c r="AS79" i="10" s="1"/>
  <c r="AH191" i="10"/>
  <c r="AI191" i="10" s="1"/>
  <c r="AT191" i="10" s="1"/>
  <c r="AH79" i="10"/>
  <c r="AI79" i="10" s="1"/>
  <c r="AT79" i="10" s="1"/>
  <c r="AH85" i="10"/>
  <c r="AI85" i="10" s="1"/>
  <c r="AT85" i="10" s="1"/>
  <c r="AH59" i="10"/>
  <c r="AI59" i="10" s="1"/>
  <c r="AT59" i="10" s="1"/>
  <c r="AJ85" i="10"/>
  <c r="AS85" i="10" s="1"/>
  <c r="AJ175" i="10"/>
  <c r="AS175" i="10" s="1"/>
  <c r="AH145" i="10"/>
  <c r="AI145" i="10" s="1"/>
  <c r="AT145" i="10" s="1"/>
  <c r="AJ191" i="10"/>
  <c r="AS191" i="10" s="1"/>
  <c r="AJ145" i="10"/>
  <c r="AS145" i="10" s="1"/>
  <c r="AH96" i="10"/>
  <c r="AI96" i="10" s="1"/>
  <c r="AT96" i="10" s="1"/>
  <c r="AH123" i="10"/>
  <c r="AI123" i="10" s="1"/>
  <c r="AT123" i="10" s="1"/>
  <c r="AH193" i="10"/>
  <c r="AI193" i="10" s="1"/>
  <c r="AT193" i="10" s="1"/>
  <c r="AJ123" i="10"/>
  <c r="AS123" i="10" s="1"/>
  <c r="AH83" i="10"/>
  <c r="AI83" i="10" s="1"/>
  <c r="AT83" i="10" s="1"/>
  <c r="AH65" i="10"/>
  <c r="AI65" i="10" s="1"/>
  <c r="AT65" i="10" s="1"/>
  <c r="AJ65" i="10"/>
  <c r="AS65" i="10" s="1"/>
  <c r="AT64" i="10"/>
  <c r="AJ159" i="10"/>
  <c r="AS159" i="10" s="1"/>
  <c r="AH172" i="10"/>
  <c r="AI172" i="10" s="1"/>
  <c r="AT172" i="10" s="1"/>
  <c r="AH159" i="10"/>
  <c r="AI159" i="10" s="1"/>
  <c r="AT159" i="10" s="1"/>
  <c r="AT143" i="10"/>
  <c r="AT185" i="10"/>
  <c r="AT120" i="10"/>
  <c r="AT109" i="10"/>
  <c r="AH57" i="10"/>
  <c r="AI57" i="10" s="1"/>
  <c r="AT57" i="10" s="1"/>
  <c r="AJ57" i="10"/>
  <c r="AS57" i="10" s="1"/>
  <c r="AH169" i="10"/>
  <c r="AI169" i="10" s="1"/>
  <c r="AT169" i="10" s="1"/>
  <c r="AJ84" i="10"/>
  <c r="AS84" i="10" s="1"/>
  <c r="AH73" i="10"/>
  <c r="AI73" i="10" s="1"/>
  <c r="AT73" i="10" s="1"/>
  <c r="AH84" i="10"/>
  <c r="AI84" i="10" s="1"/>
  <c r="AT84" i="10" s="1"/>
  <c r="AH102" i="10"/>
  <c r="AI102" i="10" s="1"/>
  <c r="AT102" i="10" s="1"/>
  <c r="AJ71" i="10"/>
  <c r="AS71" i="10" s="1"/>
  <c r="AJ73" i="10"/>
  <c r="AS73" i="10" s="1"/>
  <c r="AH198" i="10"/>
  <c r="AI198" i="10" s="1"/>
  <c r="AT198" i="10" s="1"/>
  <c r="AH127" i="10"/>
  <c r="AI127" i="10" s="1"/>
  <c r="AT127" i="10" s="1"/>
  <c r="AT5" i="10"/>
  <c r="AH75" i="10"/>
  <c r="AI75" i="10" s="1"/>
  <c r="AT75" i="10" s="1"/>
  <c r="AT43" i="10"/>
  <c r="AJ2" i="10"/>
  <c r="AS2" i="10" s="1"/>
  <c r="AH2" i="10"/>
  <c r="AI2" i="10" s="1"/>
  <c r="AH71" i="10"/>
  <c r="AI71" i="10" s="1"/>
  <c r="AT71" i="10" s="1"/>
  <c r="AJ169" i="10"/>
  <c r="AS169" i="10" s="1"/>
  <c r="AJ198" i="10"/>
  <c r="AS198" i="10" s="1"/>
  <c r="AJ134" i="10"/>
  <c r="AS134" i="10" s="1"/>
  <c r="AH197" i="10"/>
  <c r="AI197" i="10" s="1"/>
  <c r="AT197" i="10" s="1"/>
  <c r="AH101" i="10"/>
  <c r="AI101" i="10" s="1"/>
  <c r="AT101" i="10" s="1"/>
  <c r="AJ75" i="10"/>
  <c r="AS75" i="10" s="1"/>
  <c r="AH190" i="10"/>
  <c r="AI190" i="10" s="1"/>
  <c r="AT190" i="10" s="1"/>
  <c r="AH134" i="10"/>
  <c r="AI134" i="10" s="1"/>
  <c r="AT134" i="10" s="1"/>
  <c r="AJ190" i="10"/>
  <c r="AS190" i="10" s="1"/>
  <c r="AH146" i="10"/>
  <c r="AI146" i="10" s="1"/>
  <c r="AT146" i="10" s="1"/>
  <c r="AH86" i="10"/>
  <c r="AI86" i="10" s="1"/>
  <c r="AT86" i="10" s="1"/>
  <c r="AH107" i="10"/>
  <c r="AI107" i="10" s="1"/>
  <c r="AT107" i="10" s="1"/>
  <c r="AH182" i="10"/>
  <c r="AI182" i="10" s="1"/>
  <c r="AT182" i="10" s="1"/>
  <c r="AJ86" i="10"/>
  <c r="AS86" i="10" s="1"/>
  <c r="AH111" i="10"/>
  <c r="AI111" i="10" s="1"/>
  <c r="AT111" i="10" s="1"/>
  <c r="AJ54" i="10"/>
  <c r="AS54" i="10" s="1"/>
  <c r="AJ43" i="10"/>
  <c r="AS43" i="10" s="1"/>
  <c r="AH7" i="10"/>
  <c r="AI7" i="10" s="1"/>
  <c r="AQ7" i="10"/>
  <c r="AQ55" i="10"/>
  <c r="AH44" i="10"/>
  <c r="AI44" i="10" s="1"/>
  <c r="AQ44" i="10"/>
  <c r="AQ32" i="10"/>
  <c r="AQ50" i="10"/>
  <c r="AQ36" i="10"/>
  <c r="AH17" i="10"/>
  <c r="AI17" i="10" s="1"/>
  <c r="AQ17" i="10"/>
  <c r="AH29" i="10"/>
  <c r="AI29" i="10" s="1"/>
  <c r="AQ29" i="10"/>
  <c r="AQ30" i="10"/>
  <c r="AQ16" i="10"/>
  <c r="AJ90" i="10"/>
  <c r="AS90" i="10" s="1"/>
  <c r="AJ64" i="10"/>
  <c r="AS64" i="10" s="1"/>
  <c r="AJ115" i="10"/>
  <c r="AS115" i="10" s="1"/>
  <c r="AJ81" i="10"/>
  <c r="AS81" i="10" s="1"/>
  <c r="AH126" i="10"/>
  <c r="AI126" i="10" s="1"/>
  <c r="AQ126" i="10"/>
  <c r="AH133" i="10"/>
  <c r="AI133" i="10" s="1"/>
  <c r="AQ133" i="10"/>
  <c r="AQ60" i="10"/>
  <c r="AQ161" i="10"/>
  <c r="AQ187" i="10"/>
  <c r="AH135" i="10"/>
  <c r="AI135" i="10" s="1"/>
  <c r="AQ135" i="10"/>
  <c r="AQ153" i="10"/>
  <c r="AH165" i="10"/>
  <c r="AI165" i="10" s="1"/>
  <c r="AQ165" i="10"/>
  <c r="AQ171" i="10"/>
  <c r="AH138" i="10"/>
  <c r="AI138" i="10" s="1"/>
  <c r="AQ138" i="10"/>
  <c r="AH174" i="10"/>
  <c r="AI174" i="10" s="1"/>
  <c r="AQ174" i="10"/>
  <c r="AH167" i="10"/>
  <c r="AI167" i="10" s="1"/>
  <c r="AQ167" i="10"/>
  <c r="AQ139" i="10"/>
  <c r="AQ141" i="10"/>
  <c r="AQ68" i="10"/>
  <c r="AQ94" i="10"/>
  <c r="AH113" i="10"/>
  <c r="AI113" i="10" s="1"/>
  <c r="AQ113" i="10"/>
  <c r="AH98" i="10"/>
  <c r="AI98" i="10" s="1"/>
  <c r="AQ98" i="10"/>
  <c r="AQ23" i="10"/>
  <c r="AQ119" i="10"/>
  <c r="AQ63" i="10"/>
  <c r="AQ89" i="10"/>
  <c r="AQ24" i="10"/>
  <c r="AH53" i="10"/>
  <c r="AI53" i="10" s="1"/>
  <c r="AQ53" i="10"/>
  <c r="AH46" i="10"/>
  <c r="AI46" i="10" s="1"/>
  <c r="AQ46" i="10"/>
  <c r="AH21" i="10"/>
  <c r="AI21" i="10" s="1"/>
  <c r="AQ21" i="10"/>
  <c r="AQ22" i="10"/>
  <c r="AH27" i="10"/>
  <c r="AI27" i="10" s="1"/>
  <c r="AQ27" i="10"/>
  <c r="AH33" i="10"/>
  <c r="AI33" i="10" s="1"/>
  <c r="AQ33" i="10"/>
  <c r="AH45" i="10"/>
  <c r="AI45" i="10" s="1"/>
  <c r="AQ45" i="10"/>
  <c r="AQ34" i="10"/>
  <c r="AH52" i="10"/>
  <c r="AI52" i="10" s="1"/>
  <c r="AQ52" i="10"/>
  <c r="AH49" i="10"/>
  <c r="AI49" i="10" s="1"/>
  <c r="AQ49" i="10"/>
  <c r="AJ185" i="10"/>
  <c r="AS185" i="10" s="1"/>
  <c r="AJ121" i="10"/>
  <c r="AS121" i="10" s="1"/>
  <c r="AJ61" i="10"/>
  <c r="AS61" i="10" s="1"/>
  <c r="AJ176" i="10"/>
  <c r="AS176" i="10" s="1"/>
  <c r="AJ160" i="10"/>
  <c r="AS160" i="10" s="1"/>
  <c r="AJ188" i="10"/>
  <c r="AS188" i="10" s="1"/>
  <c r="AJ100" i="10"/>
  <c r="AS100" i="10" s="1"/>
  <c r="AJ95" i="10"/>
  <c r="AS95" i="10" s="1"/>
  <c r="AJ155" i="10"/>
  <c r="AS155" i="10" s="1"/>
  <c r="AJ59" i="10"/>
  <c r="AS59" i="10" s="1"/>
  <c r="AJ172" i="10"/>
  <c r="AS172" i="10" s="1"/>
  <c r="AJ184" i="10"/>
  <c r="AS184" i="10" s="1"/>
  <c r="AQ91" i="10"/>
  <c r="AH170" i="10"/>
  <c r="AI170" i="10" s="1"/>
  <c r="AQ170" i="10"/>
  <c r="AH122" i="10"/>
  <c r="AI122" i="10" s="1"/>
  <c r="AQ122" i="10"/>
  <c r="AH173" i="10"/>
  <c r="AI173" i="10" s="1"/>
  <c r="AQ173" i="10"/>
  <c r="AH144" i="10"/>
  <c r="AI144" i="10" s="1"/>
  <c r="AQ144" i="10"/>
  <c r="AQ194" i="10"/>
  <c r="AQ147" i="10"/>
  <c r="AH180" i="10"/>
  <c r="AI180" i="10" s="1"/>
  <c r="AQ180" i="10"/>
  <c r="AQ149" i="10"/>
  <c r="AH95" i="10"/>
  <c r="AI95" i="10" s="1"/>
  <c r="AQ95" i="10"/>
  <c r="AH154" i="10"/>
  <c r="AI154" i="10" s="1"/>
  <c r="AQ154" i="10"/>
  <c r="AH140" i="10"/>
  <c r="AI140" i="10" s="1"/>
  <c r="AQ140" i="10"/>
  <c r="AH130" i="10"/>
  <c r="AI130" i="10" s="1"/>
  <c r="AQ130" i="10"/>
  <c r="AH81" i="10"/>
  <c r="AI81" i="10" s="1"/>
  <c r="AQ81" i="10"/>
  <c r="AH118" i="10"/>
  <c r="AI118" i="10" s="1"/>
  <c r="AQ118" i="10"/>
  <c r="AH179" i="10"/>
  <c r="AI179" i="10" s="1"/>
  <c r="AQ179" i="10"/>
  <c r="AQ70" i="10"/>
  <c r="AJ15" i="10"/>
  <c r="AS15" i="10" s="1"/>
  <c r="AJ4" i="10"/>
  <c r="AS4" i="10" s="1"/>
  <c r="AJ51" i="10"/>
  <c r="AS51" i="10" s="1"/>
  <c r="AJ5" i="10"/>
  <c r="AS5" i="10" s="1"/>
  <c r="AQ28" i="10"/>
  <c r="AH8" i="10"/>
  <c r="AI8" i="10" s="1"/>
  <c r="AQ8" i="10"/>
  <c r="AH6" i="10"/>
  <c r="AI6" i="10" s="1"/>
  <c r="AQ6" i="10"/>
  <c r="AH38" i="10"/>
  <c r="AI38" i="10" s="1"/>
  <c r="AQ38" i="10"/>
  <c r="AH39" i="10"/>
  <c r="AI39" i="10" s="1"/>
  <c r="AQ39" i="10"/>
  <c r="AH3" i="10"/>
  <c r="AI3" i="10" s="1"/>
  <c r="AQ3" i="10"/>
  <c r="AQ18" i="10"/>
  <c r="AQ13" i="10"/>
  <c r="AQ25" i="10"/>
  <c r="AQ48" i="10"/>
  <c r="AQ19" i="10"/>
  <c r="AJ196" i="10"/>
  <c r="AS196" i="10" s="1"/>
  <c r="AJ96" i="10"/>
  <c r="AS96" i="10" s="1"/>
  <c r="AJ120" i="10"/>
  <c r="AS120" i="10" s="1"/>
  <c r="AJ83" i="10"/>
  <c r="AS83" i="10" s="1"/>
  <c r="AJ93" i="10"/>
  <c r="AS93" i="10" s="1"/>
  <c r="AJ193" i="10"/>
  <c r="AS193" i="10" s="1"/>
  <c r="AJ200" i="10"/>
  <c r="AS200" i="10" s="1"/>
  <c r="AJ124" i="10"/>
  <c r="AS124" i="10" s="1"/>
  <c r="AJ143" i="10"/>
  <c r="AS143" i="10" s="1"/>
  <c r="AJ129" i="10"/>
  <c r="AS129" i="10" s="1"/>
  <c r="AQ58" i="10"/>
  <c r="AH163" i="10"/>
  <c r="AI163" i="10" s="1"/>
  <c r="AQ163" i="10"/>
  <c r="AQ104" i="10"/>
  <c r="AQ80" i="10"/>
  <c r="AH184" i="10"/>
  <c r="AI184" i="10" s="1"/>
  <c r="AQ184" i="10"/>
  <c r="AH117" i="10"/>
  <c r="AI117" i="10" s="1"/>
  <c r="AQ117" i="10"/>
  <c r="AH125" i="10"/>
  <c r="AI125" i="10" s="1"/>
  <c r="AQ125" i="10"/>
  <c r="AQ168" i="10"/>
  <c r="AQ69" i="10"/>
  <c r="AH201" i="10"/>
  <c r="AI201" i="10" s="1"/>
  <c r="AQ201" i="10"/>
  <c r="AQ76" i="10"/>
  <c r="AH136" i="10"/>
  <c r="AI136" i="10" s="1"/>
  <c r="AQ136" i="10"/>
  <c r="AH166" i="10"/>
  <c r="AI166" i="10" s="1"/>
  <c r="AQ166" i="10"/>
  <c r="AH177" i="10"/>
  <c r="AI177" i="10" s="1"/>
  <c r="AQ177" i="10"/>
  <c r="AQ78" i="10"/>
  <c r="AQ66" i="10"/>
  <c r="AQ72" i="10"/>
  <c r="AQ131" i="10"/>
  <c r="AQ47" i="10"/>
  <c r="AQ31" i="10"/>
  <c r="AQ41" i="10"/>
  <c r="AQ42" i="10"/>
  <c r="AQ10" i="10"/>
  <c r="AQ26" i="10"/>
  <c r="AH37" i="10"/>
  <c r="AI37" i="10" s="1"/>
  <c r="AQ37" i="10"/>
  <c r="AQ40" i="10"/>
  <c r="AH35" i="10"/>
  <c r="AI35" i="10" s="1"/>
  <c r="AQ35" i="10"/>
  <c r="AH12" i="10"/>
  <c r="AI12" i="10" s="1"/>
  <c r="AQ12" i="10"/>
  <c r="AQ56" i="10"/>
  <c r="AQ14" i="10"/>
  <c r="AJ99" i="10"/>
  <c r="AS99" i="10" s="1"/>
  <c r="AJ87" i="10"/>
  <c r="AS87" i="10" s="1"/>
  <c r="AJ109" i="10"/>
  <c r="AS109" i="10" s="1"/>
  <c r="AJ151" i="10"/>
  <c r="AS151" i="10" s="1"/>
  <c r="AJ102" i="10"/>
  <c r="AS102" i="10" s="1"/>
  <c r="AQ97" i="10"/>
  <c r="AQ62" i="10"/>
  <c r="AH124" i="10"/>
  <c r="AI124" i="10" s="1"/>
  <c r="AQ124" i="10"/>
  <c r="AQ157" i="10"/>
  <c r="AQ77" i="10"/>
  <c r="AH137" i="10"/>
  <c r="AI137" i="10" s="1"/>
  <c r="AQ137" i="10"/>
  <c r="AQ195" i="10"/>
  <c r="AQ106" i="10"/>
  <c r="AQ183" i="10"/>
  <c r="AQ105" i="10"/>
  <c r="AQ82" i="10"/>
  <c r="AT82" i="10" s="1"/>
  <c r="AH160" i="10"/>
  <c r="AI160" i="10" s="1"/>
  <c r="AQ160" i="10"/>
  <c r="AQ88" i="10"/>
  <c r="AH9" i="10"/>
  <c r="AI9" i="10" s="1"/>
  <c r="AQ9" i="10"/>
  <c r="AQ103" i="10"/>
  <c r="AT103" i="10" s="1"/>
  <c r="AQ150" i="10"/>
  <c r="AQ11" i="10"/>
  <c r="AJ20" i="10"/>
  <c r="AS20" i="10" s="1"/>
  <c r="AH23" i="10"/>
  <c r="AI23" i="10" s="1"/>
  <c r="AH132" i="10"/>
  <c r="AI132" i="10" s="1"/>
  <c r="AT132" i="10" s="1"/>
  <c r="AH192" i="10"/>
  <c r="AI192" i="10" s="1"/>
  <c r="AT192" i="10" s="1"/>
  <c r="AH94" i="10"/>
  <c r="AI94" i="10" s="1"/>
  <c r="AH139" i="10"/>
  <c r="AI139" i="10" s="1"/>
  <c r="AH70" i="10"/>
  <c r="AI70" i="10" s="1"/>
  <c r="AH162" i="10"/>
  <c r="AI162" i="10" s="1"/>
  <c r="AT162" i="10" s="1"/>
  <c r="AH63" i="10"/>
  <c r="AI63" i="10" s="1"/>
  <c r="AH60" i="10"/>
  <c r="AI60" i="10" s="1"/>
  <c r="AH89" i="10"/>
  <c r="AI89" i="10" s="1"/>
  <c r="AH119" i="10"/>
  <c r="AI119" i="10" s="1"/>
  <c r="AH147" i="10"/>
  <c r="AI147" i="10" s="1"/>
  <c r="AH194" i="10"/>
  <c r="AI194" i="10" s="1"/>
  <c r="AH171" i="10"/>
  <c r="AI171" i="10" s="1"/>
  <c r="AH187" i="10"/>
  <c r="AI187" i="10" s="1"/>
  <c r="AH47" i="10"/>
  <c r="AI47" i="10" s="1"/>
  <c r="AH80" i="10"/>
  <c r="AI80" i="10" s="1"/>
  <c r="AH66" i="10"/>
  <c r="AI66" i="10" s="1"/>
  <c r="AH168" i="10"/>
  <c r="AI168" i="10" s="1"/>
  <c r="AH62" i="10"/>
  <c r="AI62" i="10" s="1"/>
  <c r="AH76" i="10"/>
  <c r="AI76" i="10" s="1"/>
  <c r="AH157" i="10"/>
  <c r="AI157" i="10" s="1"/>
  <c r="AH34" i="10"/>
  <c r="AI34" i="10" s="1"/>
  <c r="AH153" i="10"/>
  <c r="AI153" i="10" s="1"/>
  <c r="AH97" i="10"/>
  <c r="AI97" i="10" s="1"/>
  <c r="AH161" i="10"/>
  <c r="AI161" i="10" s="1"/>
  <c r="AH78" i="10"/>
  <c r="AI78" i="10" s="1"/>
  <c r="AH58" i="10"/>
  <c r="AI58" i="10" s="1"/>
  <c r="AH149" i="10"/>
  <c r="AI149" i="10" s="1"/>
  <c r="AH91" i="10"/>
  <c r="AI91" i="10" s="1"/>
  <c r="AQ2" i="10"/>
  <c r="AH77" i="10"/>
  <c r="AI77" i="10" s="1"/>
  <c r="AH128" i="10"/>
  <c r="AI128" i="10" s="1"/>
  <c r="AT128" i="10" s="1"/>
  <c r="AH148" i="10"/>
  <c r="AI148" i="10" s="1"/>
  <c r="AT148" i="10" s="1"/>
  <c r="AH110" i="10"/>
  <c r="AI110" i="10" s="1"/>
  <c r="AT110" i="10" s="1"/>
  <c r="AH181" i="10"/>
  <c r="AI181" i="10" s="1"/>
  <c r="AT181" i="10" s="1"/>
  <c r="AH112" i="10"/>
  <c r="AI112" i="10" s="1"/>
  <c r="AT112" i="10" s="1"/>
  <c r="AH202" i="10"/>
  <c r="AI202" i="10" s="1"/>
  <c r="AT202" i="10" s="1"/>
  <c r="AH108" i="10"/>
  <c r="AI108" i="10" s="1"/>
  <c r="AT108" i="10" s="1"/>
  <c r="AH178" i="10"/>
  <c r="AI178" i="10" s="1"/>
  <c r="AT178" i="10" s="1"/>
  <c r="AH142" i="10"/>
  <c r="AI142" i="10" s="1"/>
  <c r="AT142" i="10" s="1"/>
  <c r="AH164" i="10"/>
  <c r="AI164" i="10" s="1"/>
  <c r="AT164" i="10" s="1"/>
  <c r="AH114" i="10"/>
  <c r="AI114" i="10" s="1"/>
  <c r="AT114" i="10" s="1"/>
  <c r="AH158" i="10"/>
  <c r="AI158" i="10" s="1"/>
  <c r="AT158" i="10" s="1"/>
  <c r="AH116" i="10"/>
  <c r="AI116" i="10" s="1"/>
  <c r="AT116" i="10" s="1"/>
  <c r="AH92" i="10"/>
  <c r="AI92" i="10" s="1"/>
  <c r="AT92" i="10" s="1"/>
  <c r="AH199" i="10"/>
  <c r="AI199" i="10" s="1"/>
  <c r="AT199" i="10" s="1"/>
  <c r="AH67" i="10"/>
  <c r="AI67" i="10" s="1"/>
  <c r="AT67" i="10" s="1"/>
  <c r="AH186" i="10"/>
  <c r="AI186" i="10" s="1"/>
  <c r="AT186" i="10" s="1"/>
  <c r="AH152" i="10"/>
  <c r="AI152" i="10" s="1"/>
  <c r="AT152" i="10" s="1"/>
  <c r="AH189" i="10"/>
  <c r="AI189" i="10" s="1"/>
  <c r="AT189" i="10" s="1"/>
  <c r="AH156" i="10"/>
  <c r="AI156" i="10" s="1"/>
  <c r="AT156" i="10" s="1"/>
  <c r="AH74" i="10"/>
  <c r="AI74" i="10" s="1"/>
  <c r="AT74" i="10" s="1"/>
  <c r="AH14" i="10"/>
  <c r="AI14" i="10" s="1"/>
  <c r="AH19" i="10"/>
  <c r="AI19" i="10" s="1"/>
  <c r="AH16" i="10"/>
  <c r="AI16" i="10" s="1"/>
  <c r="AH32" i="10"/>
  <c r="AI32" i="10" s="1"/>
  <c r="AH30" i="10"/>
  <c r="AI30" i="10" s="1"/>
  <c r="AH50" i="10"/>
  <c r="AI50" i="10" s="1"/>
  <c r="AH25" i="10"/>
  <c r="AI25" i="10" s="1"/>
  <c r="AH18" i="10"/>
  <c r="AI18" i="10" s="1"/>
  <c r="AH13" i="10"/>
  <c r="AI13" i="10" s="1"/>
  <c r="AH48" i="10"/>
  <c r="AI48" i="10" s="1"/>
  <c r="AH56" i="10"/>
  <c r="AI56" i="10" s="1"/>
  <c r="AH22" i="10"/>
  <c r="AI22" i="10" s="1"/>
  <c r="AH10" i="10"/>
  <c r="AI10" i="10" s="1"/>
  <c r="AH40" i="10"/>
  <c r="AI40" i="10" s="1"/>
  <c r="AH36" i="10"/>
  <c r="AI36" i="10" s="1"/>
  <c r="AH55" i="10"/>
  <c r="AI55" i="10" s="1"/>
  <c r="AH41" i="10"/>
  <c r="AI41" i="10" s="1"/>
  <c r="AH42" i="10"/>
  <c r="AI42" i="10" s="1"/>
  <c r="AH26" i="10"/>
  <c r="AI26" i="10" s="1"/>
  <c r="AH31" i="10"/>
  <c r="AI31" i="10" s="1"/>
  <c r="AH28" i="10"/>
  <c r="AI28" i="10" s="1"/>
  <c r="AH24" i="10"/>
  <c r="AI24" i="10" s="1"/>
  <c r="AT72" i="10" l="1"/>
  <c r="AT106" i="10"/>
  <c r="AT141" i="10"/>
  <c r="AT195" i="10"/>
  <c r="AT150" i="10"/>
  <c r="AT88" i="10"/>
  <c r="AT105" i="10"/>
  <c r="AT131" i="10"/>
  <c r="AT183" i="10"/>
  <c r="AT11" i="10"/>
  <c r="AT69" i="10"/>
  <c r="AT68" i="10"/>
  <c r="AT104" i="10"/>
  <c r="AJ127" i="10"/>
  <c r="AS127" i="10" s="1"/>
  <c r="AT149" i="10"/>
  <c r="AT147" i="10"/>
  <c r="AT16" i="10"/>
  <c r="AT9" i="10"/>
  <c r="AT160" i="10"/>
  <c r="AT137" i="10"/>
  <c r="AT63" i="10"/>
  <c r="AT171" i="10"/>
  <c r="AT37" i="10"/>
  <c r="AT184" i="10"/>
  <c r="AT35" i="10"/>
  <c r="AT166" i="10"/>
  <c r="AT125" i="10"/>
  <c r="AT13" i="10"/>
  <c r="AT3" i="10"/>
  <c r="AT38" i="10"/>
  <c r="AT8" i="10"/>
  <c r="AT118" i="10"/>
  <c r="AT130" i="10"/>
  <c r="AT154" i="10"/>
  <c r="AT144" i="10"/>
  <c r="AT122" i="10"/>
  <c r="AT91" i="10"/>
  <c r="AT49" i="10"/>
  <c r="AT33" i="10"/>
  <c r="AT46" i="10"/>
  <c r="AT23" i="10"/>
  <c r="AT113" i="10"/>
  <c r="AT174" i="10"/>
  <c r="AT126" i="10"/>
  <c r="AT29" i="10"/>
  <c r="AT32" i="10"/>
  <c r="AT55" i="10"/>
  <c r="AT40" i="10"/>
  <c r="AT26" i="10"/>
  <c r="AT80" i="10"/>
  <c r="AT24" i="10"/>
  <c r="AT187" i="10"/>
  <c r="AT42" i="10"/>
  <c r="AT70" i="10"/>
  <c r="AT34" i="10"/>
  <c r="AT31" i="10"/>
  <c r="AT62" i="10"/>
  <c r="AT153" i="10"/>
  <c r="AT14" i="10"/>
  <c r="AT177" i="10"/>
  <c r="AT136" i="10"/>
  <c r="AT117" i="10"/>
  <c r="AT163" i="10"/>
  <c r="AT77" i="10"/>
  <c r="AT124" i="10"/>
  <c r="AT97" i="10"/>
  <c r="AT19" i="10"/>
  <c r="AT25" i="10"/>
  <c r="AT18" i="10"/>
  <c r="AT39" i="10"/>
  <c r="AT6" i="10"/>
  <c r="AT28" i="10"/>
  <c r="AT179" i="10"/>
  <c r="AT81" i="10"/>
  <c r="AT140" i="10"/>
  <c r="AT95" i="10"/>
  <c r="AT180" i="10"/>
  <c r="AT194" i="10"/>
  <c r="AT173" i="10"/>
  <c r="AT170" i="10"/>
  <c r="AT52" i="10"/>
  <c r="AT45" i="10"/>
  <c r="AT27" i="10"/>
  <c r="AT21" i="10"/>
  <c r="AT53" i="10"/>
  <c r="AT89" i="10"/>
  <c r="AT119" i="10"/>
  <c r="AT98" i="10"/>
  <c r="AT94" i="10"/>
  <c r="AT167" i="10"/>
  <c r="AT138" i="10"/>
  <c r="AT165" i="10"/>
  <c r="AT135" i="10"/>
  <c r="AT161" i="10"/>
  <c r="AT133" i="10"/>
  <c r="AT30" i="10"/>
  <c r="AT17" i="10"/>
  <c r="AT50" i="10"/>
  <c r="AT44" i="10"/>
  <c r="AT7" i="10"/>
  <c r="AT157" i="10"/>
  <c r="AT48" i="10"/>
  <c r="AT22" i="10"/>
  <c r="AT139" i="10"/>
  <c r="AT60" i="10"/>
  <c r="AT36" i="10"/>
  <c r="AT12" i="10"/>
  <c r="AT66" i="10"/>
  <c r="AT201" i="10"/>
  <c r="AT168" i="10"/>
  <c r="AT2" i="10"/>
  <c r="AT56" i="10"/>
  <c r="AT10" i="10"/>
  <c r="AT41" i="10"/>
  <c r="AT47" i="10"/>
  <c r="AT78" i="10"/>
  <c r="AT76" i="10"/>
  <c r="AT58" i="10"/>
  <c r="AJ162" i="10"/>
  <c r="AS162" i="10" s="1"/>
  <c r="AJ197" i="10"/>
  <c r="AS197" i="10" s="1"/>
  <c r="AJ101" i="10"/>
  <c r="AS101" i="10" s="1"/>
  <c r="AJ39" i="10"/>
  <c r="AS39" i="10" s="1"/>
  <c r="AJ53" i="10"/>
  <c r="AS53" i="10" s="1"/>
  <c r="AJ67" i="10"/>
  <c r="AS67" i="10" s="1"/>
  <c r="AJ178" i="10"/>
  <c r="AS178" i="10" s="1"/>
  <c r="AJ181" i="10"/>
  <c r="AS181" i="10" s="1"/>
  <c r="AJ170" i="10"/>
  <c r="AS170" i="10" s="1"/>
  <c r="AJ122" i="10"/>
  <c r="AS122" i="10" s="1"/>
  <c r="AJ167" i="10"/>
  <c r="AS167" i="10" s="1"/>
  <c r="AJ113" i="10"/>
  <c r="AS113" i="10" s="1"/>
  <c r="AJ107" i="10"/>
  <c r="AS107" i="10" s="1"/>
  <c r="AJ29" i="10"/>
  <c r="AS29" i="10" s="1"/>
  <c r="AJ156" i="10"/>
  <c r="AS156" i="10" s="1"/>
  <c r="AJ92" i="10"/>
  <c r="AS92" i="10" s="1"/>
  <c r="AJ164" i="10"/>
  <c r="AS164" i="10" s="1"/>
  <c r="AJ202" i="10"/>
  <c r="AS202" i="10" s="1"/>
  <c r="AJ148" i="10"/>
  <c r="AS148" i="10" s="1"/>
  <c r="AJ201" i="10"/>
  <c r="AS201" i="10" s="1"/>
  <c r="AJ163" i="10"/>
  <c r="AS163" i="10" s="1"/>
  <c r="AJ174" i="10"/>
  <c r="AS174" i="10" s="1"/>
  <c r="AJ132" i="10"/>
  <c r="AS132" i="10" s="1"/>
  <c r="AJ105" i="10"/>
  <c r="AS105" i="10" s="1"/>
  <c r="AJ62" i="10"/>
  <c r="AS62" i="10" s="1"/>
  <c r="AJ56" i="10"/>
  <c r="AS56" i="10" s="1"/>
  <c r="AJ41" i="10"/>
  <c r="AS41" i="10" s="1"/>
  <c r="AJ72" i="10"/>
  <c r="AS72" i="10" s="1"/>
  <c r="AJ69" i="10"/>
  <c r="AS69" i="10" s="1"/>
  <c r="AJ104" i="10"/>
  <c r="AS104" i="10" s="1"/>
  <c r="AJ48" i="10"/>
  <c r="AS48" i="10" s="1"/>
  <c r="AJ70" i="10"/>
  <c r="AS70" i="10" s="1"/>
  <c r="AJ149" i="10"/>
  <c r="AS149" i="10" s="1"/>
  <c r="AJ147" i="10"/>
  <c r="AS147" i="10" s="1"/>
  <c r="AJ89" i="10"/>
  <c r="AS89" i="10" s="1"/>
  <c r="AJ141" i="10"/>
  <c r="AS141" i="10" s="1"/>
  <c r="AJ16" i="10"/>
  <c r="AS16" i="10" s="1"/>
  <c r="AJ36" i="10"/>
  <c r="AS36" i="10" s="1"/>
  <c r="AJ46" i="10"/>
  <c r="AS46" i="10" s="1"/>
  <c r="AJ6" i="10"/>
  <c r="AS6" i="10" s="1"/>
  <c r="AJ7" i="10"/>
  <c r="AS7" i="10" s="1"/>
  <c r="AJ44" i="10"/>
  <c r="AS44" i="10" s="1"/>
  <c r="AJ37" i="10"/>
  <c r="AS37" i="10" s="1"/>
  <c r="AJ52" i="10"/>
  <c r="AS52" i="10" s="1"/>
  <c r="AJ38" i="10"/>
  <c r="AS38" i="10" s="1"/>
  <c r="AJ74" i="10"/>
  <c r="AS74" i="10" s="1"/>
  <c r="AJ189" i="10"/>
  <c r="AS189" i="10" s="1"/>
  <c r="AJ186" i="10"/>
  <c r="AS186" i="10" s="1"/>
  <c r="AJ116" i="10"/>
  <c r="AS116" i="10" s="1"/>
  <c r="AJ114" i="10"/>
  <c r="AS114" i="10" s="1"/>
  <c r="AJ108" i="10"/>
  <c r="AS108" i="10" s="1"/>
  <c r="AJ112" i="10"/>
  <c r="AS112" i="10" s="1"/>
  <c r="AJ128" i="10"/>
  <c r="AS128" i="10" s="1"/>
  <c r="AJ173" i="10"/>
  <c r="AS173" i="10" s="1"/>
  <c r="AJ140" i="10"/>
  <c r="AS140" i="10" s="1"/>
  <c r="AJ136" i="10"/>
  <c r="AS136" i="10" s="1"/>
  <c r="AJ126" i="10"/>
  <c r="AS126" i="10" s="1"/>
  <c r="AJ133" i="10"/>
  <c r="AS133" i="10" s="1"/>
  <c r="AJ118" i="10"/>
  <c r="AS118" i="10" s="1"/>
  <c r="AJ179" i="10"/>
  <c r="AS179" i="10" s="1"/>
  <c r="AJ135" i="10"/>
  <c r="AS135" i="10" s="1"/>
  <c r="AJ138" i="10"/>
  <c r="AS138" i="10" s="1"/>
  <c r="AJ11" i="10"/>
  <c r="AS11" i="10" s="1"/>
  <c r="AJ103" i="10"/>
  <c r="AS103" i="10" s="1"/>
  <c r="AJ88" i="10"/>
  <c r="AS88" i="10" s="1"/>
  <c r="AJ82" i="10"/>
  <c r="AS82" i="10" s="1"/>
  <c r="AJ183" i="10"/>
  <c r="AS183" i="10" s="1"/>
  <c r="AJ195" i="10"/>
  <c r="AS195" i="10" s="1"/>
  <c r="AJ77" i="10"/>
  <c r="AS77" i="10" s="1"/>
  <c r="AJ97" i="10"/>
  <c r="AS97" i="10" s="1"/>
  <c r="AJ14" i="10"/>
  <c r="AS14" i="10" s="1"/>
  <c r="AJ40" i="10"/>
  <c r="AS40" i="10" s="1"/>
  <c r="AJ26" i="10"/>
  <c r="AS26" i="10" s="1"/>
  <c r="AJ42" i="10"/>
  <c r="AS42" i="10" s="1"/>
  <c r="AJ31" i="10"/>
  <c r="AS31" i="10" s="1"/>
  <c r="AJ131" i="10"/>
  <c r="AS131" i="10" s="1"/>
  <c r="AJ66" i="10"/>
  <c r="AS66" i="10" s="1"/>
  <c r="AJ168" i="10"/>
  <c r="AS168" i="10" s="1"/>
  <c r="AJ80" i="10"/>
  <c r="AS80" i="10" s="1"/>
  <c r="AJ19" i="10"/>
  <c r="AS19" i="10" s="1"/>
  <c r="AJ25" i="10"/>
  <c r="AS25" i="10" s="1"/>
  <c r="AJ18" i="10"/>
  <c r="AS18" i="10" s="1"/>
  <c r="AJ28" i="10"/>
  <c r="AS28" i="10" s="1"/>
  <c r="AJ194" i="10"/>
  <c r="AS194" i="10" s="1"/>
  <c r="AJ34" i="10"/>
  <c r="AS34" i="10" s="1"/>
  <c r="AJ22" i="10"/>
  <c r="AS22" i="10" s="1"/>
  <c r="AJ24" i="10"/>
  <c r="AS24" i="10" s="1"/>
  <c r="AJ63" i="10"/>
  <c r="AS63" i="10" s="1"/>
  <c r="AJ23" i="10"/>
  <c r="AS23" i="10" s="1"/>
  <c r="AJ68" i="10"/>
  <c r="AS68" i="10" s="1"/>
  <c r="AJ139" i="10"/>
  <c r="AS139" i="10" s="1"/>
  <c r="AJ171" i="10"/>
  <c r="AS171" i="10" s="1"/>
  <c r="AJ153" i="10"/>
  <c r="AS153" i="10" s="1"/>
  <c r="AJ187" i="10"/>
  <c r="AS187" i="10" s="1"/>
  <c r="AJ60" i="10"/>
  <c r="AS60" i="10" s="1"/>
  <c r="AJ30" i="10"/>
  <c r="AS30" i="10" s="1"/>
  <c r="AJ50" i="10"/>
  <c r="AS50" i="10" s="1"/>
  <c r="AJ21" i="10"/>
  <c r="AS21" i="10" s="1"/>
  <c r="AJ27" i="10"/>
  <c r="AS27" i="10" s="1"/>
  <c r="AJ35" i="10"/>
  <c r="AS35" i="10" s="1"/>
  <c r="AJ45" i="10"/>
  <c r="AS45" i="10" s="1"/>
  <c r="AJ17" i="10"/>
  <c r="AS17" i="10" s="1"/>
  <c r="AJ158" i="10"/>
  <c r="AS158" i="10" s="1"/>
  <c r="AJ130" i="10"/>
  <c r="AS130" i="10" s="1"/>
  <c r="AJ177" i="10"/>
  <c r="AS177" i="10" s="1"/>
  <c r="AJ165" i="10"/>
  <c r="AS165" i="10" s="1"/>
  <c r="AJ125" i="10"/>
  <c r="AS125" i="10" s="1"/>
  <c r="AJ192" i="10"/>
  <c r="AS192" i="10" s="1"/>
  <c r="AJ8" i="10"/>
  <c r="AS8" i="10" s="1"/>
  <c r="AJ3" i="10"/>
  <c r="AS3" i="10" s="1"/>
  <c r="AJ152" i="10"/>
  <c r="AS152" i="10" s="1"/>
  <c r="AJ137" i="10"/>
  <c r="AS137" i="10" s="1"/>
  <c r="AJ144" i="10"/>
  <c r="AS144" i="10" s="1"/>
  <c r="AJ180" i="10"/>
  <c r="AS180" i="10" s="1"/>
  <c r="AJ49" i="10"/>
  <c r="AS49" i="10" s="1"/>
  <c r="AJ111" i="10"/>
  <c r="AS111" i="10" s="1"/>
  <c r="AJ182" i="10"/>
  <c r="AS182" i="10" s="1"/>
  <c r="AJ150" i="10"/>
  <c r="AS150" i="10" s="1"/>
  <c r="AJ106" i="10"/>
  <c r="AS106" i="10" s="1"/>
  <c r="AJ157" i="10"/>
  <c r="AS157" i="10" s="1"/>
  <c r="AJ10" i="10"/>
  <c r="AS10" i="10" s="1"/>
  <c r="AJ47" i="10"/>
  <c r="AS47" i="10" s="1"/>
  <c r="AJ78" i="10"/>
  <c r="AS78" i="10" s="1"/>
  <c r="AJ76" i="10"/>
  <c r="AS76" i="10" s="1"/>
  <c r="AJ58" i="10"/>
  <c r="AS58" i="10" s="1"/>
  <c r="AJ13" i="10"/>
  <c r="AS13" i="10" s="1"/>
  <c r="AJ91" i="10"/>
  <c r="AS91" i="10" s="1"/>
  <c r="AJ119" i="10"/>
  <c r="AS119" i="10" s="1"/>
  <c r="AJ94" i="10"/>
  <c r="AS94" i="10" s="1"/>
  <c r="AJ161" i="10"/>
  <c r="AS161" i="10" s="1"/>
  <c r="AJ32" i="10"/>
  <c r="AS32" i="10" s="1"/>
  <c r="AJ55" i="10"/>
  <c r="AS55" i="10" s="1"/>
  <c r="AJ12" i="10"/>
  <c r="AS12" i="10" s="1"/>
  <c r="AJ33" i="10"/>
  <c r="AS33" i="10" s="1"/>
  <c r="AJ199" i="10"/>
  <c r="AS199" i="10" s="1"/>
  <c r="AJ142" i="10"/>
  <c r="AS142" i="10" s="1"/>
  <c r="AJ110" i="10"/>
  <c r="AS110" i="10" s="1"/>
  <c r="AJ154" i="10"/>
  <c r="AS154" i="10" s="1"/>
  <c r="AJ117" i="10"/>
  <c r="AS117" i="10" s="1"/>
  <c r="AJ166" i="10"/>
  <c r="AS166" i="10" s="1"/>
  <c r="AJ9" i="10"/>
  <c r="AS9" i="10" s="1"/>
  <c r="AJ146" i="10"/>
  <c r="AS146" i="10" s="1"/>
  <c r="AJ98" i="10"/>
  <c r="AS98" i="10" s="1"/>
  <c r="B6" i="10" l="1"/>
  <c r="B7" i="10" s="1"/>
</calcChain>
</file>

<file path=xl/comments1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Nominal Input Voltage</t>
        </r>
      </text>
    </comment>
  </commentList>
</comments>
</file>

<file path=xl/sharedStrings.xml><?xml version="1.0" encoding="utf-8"?>
<sst xmlns="http://schemas.openxmlformats.org/spreadsheetml/2006/main" count="214" uniqueCount="145">
  <si>
    <t>Vin</t>
  </si>
  <si>
    <t>Vout</t>
  </si>
  <si>
    <t>Iout</t>
  </si>
  <si>
    <t>Lo</t>
  </si>
  <si>
    <t>Co</t>
  </si>
  <si>
    <t>Resr</t>
  </si>
  <si>
    <t>Sc</t>
  </si>
  <si>
    <t>D'</t>
  </si>
  <si>
    <t>Fsw</t>
  </si>
  <si>
    <t>Tsw</t>
  </si>
  <si>
    <t>wn</t>
  </si>
  <si>
    <t>Qp</t>
  </si>
  <si>
    <t>wz1</t>
  </si>
  <si>
    <t>wz2</t>
  </si>
  <si>
    <t>wp1</t>
  </si>
  <si>
    <t>M</t>
  </si>
  <si>
    <t>mc</t>
  </si>
  <si>
    <t>Sn</t>
  </si>
  <si>
    <t>Rout</t>
  </si>
  <si>
    <t>Vout(s)/Verr(s)</t>
  </si>
  <si>
    <t>s</t>
  </si>
  <si>
    <t>g1</t>
  </si>
  <si>
    <t>g2</t>
  </si>
  <si>
    <t>g3</t>
  </si>
  <si>
    <t>g4</t>
  </si>
  <si>
    <t>|Vout(s)/Verr(s)|</t>
  </si>
  <si>
    <t>ang</t>
  </si>
  <si>
    <t>f</t>
  </si>
  <si>
    <t>°</t>
  </si>
  <si>
    <t>db</t>
  </si>
  <si>
    <t>sa</t>
  </si>
  <si>
    <t>Design Parameters</t>
  </si>
  <si>
    <t>Min</t>
  </si>
  <si>
    <t>Nominal</t>
  </si>
  <si>
    <t>Max</t>
  </si>
  <si>
    <t>Dmax</t>
  </si>
  <si>
    <t>Units</t>
  </si>
  <si>
    <t>V</t>
  </si>
  <si>
    <t>A</t>
  </si>
  <si>
    <t>%</t>
  </si>
  <si>
    <t>Vdrv</t>
  </si>
  <si>
    <t>Which Resistor Would you Like to Select?</t>
  </si>
  <si>
    <t>Ideal Vout</t>
  </si>
  <si>
    <t>Ω</t>
  </si>
  <si>
    <t>Device Current Limit</t>
  </si>
  <si>
    <t>mV</t>
  </si>
  <si>
    <t>kHz</t>
  </si>
  <si>
    <t>Maximum Average Inductor Current</t>
  </si>
  <si>
    <t>A/s</t>
  </si>
  <si>
    <t>Desired Peak to Peak Ripple Percentage At Low Vin</t>
  </si>
  <si>
    <t>Peak to Peak Current Ripple at Low Vin</t>
  </si>
  <si>
    <t>Assumed Efficiency</t>
  </si>
  <si>
    <t>Minimum Inductor Value</t>
  </si>
  <si>
    <t>μH</t>
  </si>
  <si>
    <t>Inductor Value Used</t>
  </si>
  <si>
    <t>Peak to Peak Current Ripple at Low Vin, Actual Inductor</t>
  </si>
  <si>
    <t>Irms</t>
  </si>
  <si>
    <t>Ipeak</t>
  </si>
  <si>
    <t>Peak Current</t>
  </si>
  <si>
    <t>Desired Current Limit</t>
  </si>
  <si>
    <t>Recommended Current Sense Resistor</t>
  </si>
  <si>
    <t>Current Sense Resistor Used</t>
  </si>
  <si>
    <r>
      <t>m</t>
    </r>
    <r>
      <rPr>
        <sz val="11"/>
        <color theme="1"/>
        <rFont val="Calibri"/>
        <family val="2"/>
      </rPr>
      <t>Ω</t>
    </r>
  </si>
  <si>
    <t>Power Loss in Rsense at low vin, max rated current</t>
  </si>
  <si>
    <t>D</t>
  </si>
  <si>
    <t>Nom</t>
  </si>
  <si>
    <t>Real Peak Current (min)</t>
  </si>
  <si>
    <t>Real Peak Current (max)</t>
  </si>
  <si>
    <t>W</t>
  </si>
  <si>
    <t>Output Capacitance Used</t>
  </si>
  <si>
    <t>ESR at Switching Frequency</t>
  </si>
  <si>
    <t>Input Capacitance Used</t>
  </si>
  <si>
    <t>Voltage Required</t>
  </si>
  <si>
    <t>Power Dissipation</t>
  </si>
  <si>
    <t>Qg</t>
  </si>
  <si>
    <t>Switching Losses</t>
  </si>
  <si>
    <t>Conduction Losses</t>
  </si>
  <si>
    <t>RDS,ON</t>
  </si>
  <si>
    <t>Forward Voltage Drop</t>
  </si>
  <si>
    <t>Power Loss</t>
  </si>
  <si>
    <t>Required Reverse Voltage</t>
  </si>
  <si>
    <t>Average Current</t>
  </si>
  <si>
    <t>Output Voltage Ripple</t>
  </si>
  <si>
    <t>Current Ripple Rating Required</t>
  </si>
  <si>
    <t>μF</t>
  </si>
  <si>
    <t>Input Voltage Ripple</t>
  </si>
  <si>
    <t>Input Current Ripple</t>
  </si>
  <si>
    <t>Worst Case Input Voltage</t>
  </si>
  <si>
    <t>nC</t>
  </si>
  <si>
    <t>Switch Turn On Time</t>
  </si>
  <si>
    <t>Switch Turn Off Time</t>
  </si>
  <si>
    <t>ns</t>
  </si>
  <si>
    <t>Graph Settings</t>
  </si>
  <si>
    <t>Minimum Frequency</t>
  </si>
  <si>
    <t>Maximum Frequency</t>
  </si>
  <si>
    <t>Hz</t>
  </si>
  <si>
    <t>R</t>
  </si>
  <si>
    <t>C1</t>
  </si>
  <si>
    <t>C2</t>
  </si>
  <si>
    <t>ota1</t>
  </si>
  <si>
    <t>ota2</t>
  </si>
  <si>
    <t>ota3</t>
  </si>
  <si>
    <t>g(s)</t>
  </si>
  <si>
    <t>nF</t>
  </si>
  <si>
    <t>|(g(s)|</t>
  </si>
  <si>
    <t>Desired Crossover Frequency</t>
  </si>
  <si>
    <t>Pole Location</t>
  </si>
  <si>
    <t>Zero Location</t>
  </si>
  <si>
    <t>R value used</t>
  </si>
  <si>
    <t>C1 value used</t>
  </si>
  <si>
    <t>C2 value used</t>
  </si>
  <si>
    <t>Gain At Frequency</t>
  </si>
  <si>
    <t>Suggested RC value</t>
  </si>
  <si>
    <t>Suggested CC1 value</t>
  </si>
  <si>
    <t>Suggested CC2 value</t>
  </si>
  <si>
    <t>It is intended to provide first pass values and does not replace simulation and prototyping.</t>
  </si>
  <si>
    <t>Enter values into the green cells in order by sheet for best results.</t>
  </si>
  <si>
    <t>This tool is intended to assist the user when designing with the NCV887300 for continuous conduction mode boost applications.</t>
  </si>
  <si>
    <t>Rev 1 (May 2014): Corrected current sense power loss equation</t>
  </si>
  <si>
    <t>Rev 2 (12 June 2014):  Corrected compensation analysis.  1) s =  i*f corrected to s = i*2*pie*f.  2) Improved the OTA model (ref How2power.com Alain Laprade paper)</t>
  </si>
  <si>
    <t>OTA Parameters</t>
  </si>
  <si>
    <t>C0</t>
  </si>
  <si>
    <t>F</t>
  </si>
  <si>
    <t>R0</t>
  </si>
  <si>
    <t>Rotaesd</t>
  </si>
  <si>
    <t>gm</t>
  </si>
  <si>
    <t>wz1e</t>
  </si>
  <si>
    <t>wz2e</t>
  </si>
  <si>
    <t>wp1e</t>
  </si>
  <si>
    <t>wp2e</t>
  </si>
  <si>
    <t>comp_C1</t>
  </si>
  <si>
    <t>comp_C2</t>
  </si>
  <si>
    <r>
      <t>mV/</t>
    </r>
    <r>
      <rPr>
        <sz val="11"/>
        <color theme="1"/>
        <rFont val="Calibri"/>
        <family val="2"/>
      </rPr>
      <t>μs</t>
    </r>
  </si>
  <si>
    <t>Rev 3 (21 March 2016):   Modified to permit device specific options (NCV887300, NCV887301)</t>
  </si>
  <si>
    <t>NCV8873 Boost Design Tool Revision 4 (18MAR18)</t>
  </si>
  <si>
    <t>Part Number</t>
  </si>
  <si>
    <t>Minimum I Limit</t>
  </si>
  <si>
    <t>Nominal I Limit</t>
  </si>
  <si>
    <t>Maximum I Limit</t>
  </si>
  <si>
    <r>
      <t>Sa (mV/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s)</t>
    </r>
  </si>
  <si>
    <t>NCV887300</t>
  </si>
  <si>
    <t>NCV887301</t>
  </si>
  <si>
    <t>NCV887302</t>
  </si>
  <si>
    <t>Frequency (kHz)</t>
  </si>
  <si>
    <t>Rev 4 (18 December 2017):  Modified to add NCV887302.  Corrections made to automated compensation component calculator.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</si>
</sst>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1" applyNumberFormat="0" applyAlignment="0">
      <protection hidden="1"/>
    </xf>
    <xf numFmtId="0" fontId="1" fillId="3" borderId="0">
      <protection locked="0"/>
    </xf>
  </cellStyleXfs>
  <cellXfs count="31">
    <xf numFmtId="0" fontId="0" fillId="0" borderId="0" xfId="0"/>
    <xf numFmtId="0" fontId="3" fillId="0" borderId="0" xfId="0" applyFont="1"/>
    <xf numFmtId="0" fontId="1" fillId="3" borderId="0" xfId="2">
      <protection locked="0"/>
    </xf>
    <xf numFmtId="0" fontId="2" fillId="2" borderId="1" xfId="1">
      <protection hidden="1"/>
    </xf>
    <xf numFmtId="0" fontId="3" fillId="0" borderId="0" xfId="0" applyFont="1" applyFill="1" applyBorder="1"/>
    <xf numFmtId="0" fontId="0" fillId="0" borderId="0" xfId="0" applyProtection="1">
      <protection hidden="1"/>
    </xf>
    <xf numFmtId="0" fontId="1" fillId="3" borderId="0" xfId="2" applyProtection="1">
      <protection locked="0" hidden="1"/>
    </xf>
    <xf numFmtId="0" fontId="5" fillId="0" borderId="0" xfId="0" applyFont="1"/>
    <xf numFmtId="0" fontId="0" fillId="0" borderId="0" xfId="0" applyProtection="1">
      <protection locked="0" hidden="1"/>
    </xf>
    <xf numFmtId="0" fontId="2" fillId="2" borderId="1" xfId="1" applyProtection="1">
      <protection locked="0"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" fillId="3" borderId="0" xfId="2" applyAlignment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2" applyFill="1" applyAlignment="1" applyProtection="1">
      <alignment horizontal="center"/>
    </xf>
    <xf numFmtId="0" fontId="1" fillId="0" borderId="0" xfId="2" applyFill="1" applyBorder="1" applyAlignment="1" applyProtection="1">
      <alignment horizontal="center"/>
    </xf>
    <xf numFmtId="0" fontId="0" fillId="0" borderId="0" xfId="0" applyFill="1"/>
    <xf numFmtId="0" fontId="8" fillId="0" borderId="0" xfId="0" applyFont="1" applyProtection="1">
      <protection hidden="1"/>
    </xf>
    <xf numFmtId="0" fontId="0" fillId="0" borderId="0" xfId="0" applyProtection="1"/>
    <xf numFmtId="164" fontId="0" fillId="0" borderId="2" xfId="0" applyNumberFormat="1" applyBorder="1" applyProtection="1"/>
    <xf numFmtId="164" fontId="0" fillId="0" borderId="3" xfId="0" applyNumberFormat="1" applyBorder="1" applyProtection="1"/>
    <xf numFmtId="164" fontId="0" fillId="0" borderId="4" xfId="0" applyNumberFormat="1" applyBorder="1" applyProtection="1"/>
    <xf numFmtId="164" fontId="0" fillId="0" borderId="5" xfId="0" applyNumberFormat="1" applyBorder="1" applyProtection="1"/>
    <xf numFmtId="164" fontId="0" fillId="0" borderId="0" xfId="0" applyNumberFormat="1" applyBorder="1" applyProtection="1"/>
    <xf numFmtId="164" fontId="0" fillId="0" borderId="6" xfId="0" applyNumberFormat="1" applyBorder="1" applyProtection="1"/>
    <xf numFmtId="164" fontId="0" fillId="0" borderId="7" xfId="0" applyNumberFormat="1" applyBorder="1" applyProtection="1"/>
    <xf numFmtId="164" fontId="0" fillId="0" borderId="8" xfId="0" applyNumberFormat="1" applyBorder="1" applyProtection="1"/>
    <xf numFmtId="164" fontId="0" fillId="0" borderId="9" xfId="0" applyNumberFormat="1" applyBorder="1" applyProtection="1"/>
    <xf numFmtId="165" fontId="1" fillId="0" borderId="0" xfId="2" applyNumberFormat="1" applyFill="1" applyAlignment="1" applyProtection="1">
      <alignment horizontal="center"/>
    </xf>
    <xf numFmtId="0" fontId="0" fillId="3" borderId="0" xfId="0" applyFill="1" applyProtection="1">
      <protection locked="0"/>
    </xf>
  </cellXfs>
  <cellStyles count="3">
    <cellStyle name="Calculation" xfId="1" builtinId="22" customBuiltin="1"/>
    <cellStyle name="Normal" xfId="0" builtinId="0"/>
    <cellStyle name="ONInput" xfId="2"/>
  </cellStyles>
  <dxfs count="2">
    <dxf>
      <font>
        <color theme="5" tint="-0.24994659260841701"/>
      </font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Vout</a:t>
            </a:r>
            <a:r>
              <a:rPr lang="en-US" baseline="0"/>
              <a:t> / Verr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Compensation'!$AI$1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'9.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  <c:pt idx="199">
                  <c:v>933254.30079698924</c:v>
                </c:pt>
              </c:numCache>
            </c:numRef>
          </c:xVal>
          <c:yVal>
            <c:numRef>
              <c:f>'9. Loop Compensation'!$AI$2:$AI$201</c:f>
              <c:numCache>
                <c:formatCode>General</c:formatCode>
                <c:ptCount val="200"/>
                <c:pt idx="0">
                  <c:v>-0.86713230267979624</c:v>
                </c:pt>
                <c:pt idx="1">
                  <c:v>-0.92913840029398553</c:v>
                </c:pt>
                <c:pt idx="2">
                  <c:v>-0.99557669014307304</c:v>
                </c:pt>
                <c:pt idx="3">
                  <c:v>-1.0667635977359757</c:v>
                </c:pt>
                <c:pt idx="4">
                  <c:v>-1.1430380498467216</c:v>
                </c:pt>
                <c:pt idx="5">
                  <c:v>-1.2247630540631571</c:v>
                </c:pt>
                <c:pt idx="6">
                  <c:v>-1.3123273844756402</c:v>
                </c:pt>
                <c:pt idx="7">
                  <c:v>-1.4061473795310082</c:v>
                </c:pt>
                <c:pt idx="8">
                  <c:v>-1.5066688581506824</c:v>
                </c:pt>
                <c:pt idx="9">
                  <c:v>-1.6143691602088583</c:v>
                </c:pt>
                <c:pt idx="10">
                  <c:v>-1.7297593173647867</c:v>
                </c:pt>
                <c:pt idx="11">
                  <c:v>-1.8533863600110101</c:v>
                </c:pt>
                <c:pt idx="12">
                  <c:v>-1.9858357657040195</c:v>
                </c:pt>
                <c:pt idx="13">
                  <c:v>-2.1277340538358889</c:v>
                </c:pt>
                <c:pt idx="14">
                  <c:v>-2.2797515304351106</c:v>
                </c:pt>
                <c:pt idx="15">
                  <c:v>-2.4426051857794211</c:v>
                </c:pt>
                <c:pt idx="16">
                  <c:v>-2.6170617458864518</c:v>
                </c:pt>
                <c:pt idx="17">
                  <c:v>-2.8039408768133383</c:v>
                </c:pt>
                <c:pt idx="18">
                  <c:v>-3.0041185379278317</c:v>
                </c:pt>
                <c:pt idx="19">
                  <c:v>-3.2185304767608418</c:v>
                </c:pt>
                <c:pt idx="20">
                  <c:v>-3.4481758535394214</c:v>
                </c:pt>
                <c:pt idx="21">
                  <c:v>-3.6941209778184714</c:v>
                </c:pt>
                <c:pt idx="22">
                  <c:v>-3.9575031325269405</c:v>
                </c:pt>
                <c:pt idx="23">
                  <c:v>-4.2395344519270308</c:v>
                </c:pt>
                <c:pt idx="24">
                  <c:v>-4.5415058091028353</c:v>
                </c:pt>
                <c:pt idx="25">
                  <c:v>-4.8647906552491342</c:v>
                </c:pt>
                <c:pt idx="26">
                  <c:v>-5.2108487367589662</c:v>
                </c:pt>
                <c:pt idx="27">
                  <c:v>-5.5812295963975034</c:v>
                </c:pt>
                <c:pt idx="28">
                  <c:v>-5.9775757411219628</c:v>
                </c:pt>
                <c:pt idx="29">
                  <c:v>-6.4016253307591207</c:v>
                </c:pt>
                <c:pt idx="30">
                  <c:v>-6.8552142081479399</c:v>
                </c:pt>
                <c:pt idx="31">
                  <c:v>-7.340277051887643</c:v>
                </c:pt>
                <c:pt idx="32">
                  <c:v>-7.8588473869817008</c:v>
                </c:pt>
                <c:pt idx="33">
                  <c:v>-8.4130561360698177</c:v>
                </c:pt>
                <c:pt idx="34">
                  <c:v>-9.005128334558</c:v>
                </c:pt>
                <c:pt idx="35">
                  <c:v>-9.6373775672093078</c:v>
                </c:pt>
                <c:pt idx="36">
                  <c:v>-10.31219761282197</c:v>
                </c:pt>
                <c:pt idx="37">
                  <c:v>-11.032050709675822</c:v>
                </c:pt>
                <c:pt idx="38">
                  <c:v>-11.799451781132957</c:v>
                </c:pt>
                <c:pt idx="39">
                  <c:v>-12.616947893640058</c:v>
                </c:pt>
                <c:pt idx="40">
                  <c:v>-13.487092166387614</c:v>
                </c:pt>
                <c:pt idx="41">
                  <c:v>-14.412411323932194</c:v>
                </c:pt>
                <c:pt idx="42">
                  <c:v>-15.395366094523206</c:v>
                </c:pt>
                <c:pt idx="43">
                  <c:v>-16.438303725669165</c:v>
                </c:pt>
                <c:pt idx="44">
                  <c:v>-17.543402036028557</c:v>
                </c:pt>
                <c:pt idx="45">
                  <c:v>-18.71260467295599</c:v>
                </c:pt>
                <c:pt idx="46">
                  <c:v>-19.947547622388342</c:v>
                </c:pt>
                <c:pt idx="47">
                  <c:v>-21.249477543720946</c:v>
                </c:pt>
                <c:pt idx="48">
                  <c:v>-22.619163190321967</c:v>
                </c:pt>
                <c:pt idx="49">
                  <c:v>-24.056802024681456</c:v>
                </c:pt>
                <c:pt idx="50">
                  <c:v>-25.561925120994516</c:v>
                </c:pt>
                <c:pt idx="51">
                  <c:v>-27.133304510471071</c:v>
                </c:pt>
                <c:pt idx="52">
                  <c:v>-28.768868170694869</c:v>
                </c:pt>
                <c:pt idx="53">
                  <c:v>-30.465628754674533</c:v>
                </c:pt>
                <c:pt idx="54">
                  <c:v>-32.21963272890374</c:v>
                </c:pt>
                <c:pt idx="55">
                  <c:v>-34.025936658361765</c:v>
                </c:pt>
                <c:pt idx="56">
                  <c:v>-35.878616770423605</c:v>
                </c:pt>
                <c:pt idx="57">
                  <c:v>-37.770816535347436</c:v>
                </c:pt>
                <c:pt idx="58">
                  <c:v>-39.694834803930817</c:v>
                </c:pt>
                <c:pt idx="59">
                  <c:v>-41.642254162836785</c:v>
                </c:pt>
                <c:pt idx="60">
                  <c:v>-43.604105871128674</c:v>
                </c:pt>
                <c:pt idx="61">
                  <c:v>-45.571064418687278</c:v>
                </c:pt>
                <c:pt idx="62">
                  <c:v>-47.533661855805001</c:v>
                </c:pt>
                <c:pt idx="63">
                  <c:v>-49.48251002105917</c:v>
                </c:pt>
                <c:pt idx="64">
                  <c:v>-51.408517966025066</c:v>
                </c:pt>
                <c:pt idx="65">
                  <c:v>-53.303092377362688</c:v>
                </c:pt>
                <c:pt idx="66">
                  <c:v>-55.158310546112283</c:v>
                </c:pt>
                <c:pt idx="67">
                  <c:v>-56.967058147162668</c:v>
                </c:pt>
                <c:pt idx="68">
                  <c:v>-58.723127350851769</c:v>
                </c:pt>
                <c:pt idx="69">
                  <c:v>-60.42127413224992</c:v>
                </c:pt>
                <c:pt idx="70">
                  <c:v>-62.057236657601408</c:v>
                </c:pt>
                <c:pt idx="71">
                  <c:v>-63.627719011011777</c:v>
                </c:pt>
                <c:pt idx="72">
                  <c:v>-65.130346121576267</c:v>
                </c:pt>
                <c:pt idx="73">
                  <c:v>-66.563596545435118</c:v>
                </c:pt>
                <c:pt idx="74">
                  <c:v>-67.926719841748351</c:v>
                </c:pt>
                <c:pt idx="75">
                  <c:v>-69.21964481602393</c:v>
                </c:pt>
                <c:pt idx="76">
                  <c:v>-70.442884072677032</c:v>
                </c:pt>
                <c:pt idx="77">
                  <c:v>-71.597439296062163</c:v>
                </c:pt>
                <c:pt idx="78">
                  <c:v>-72.684710610169461</c:v>
                </c:pt>
                <c:pt idx="79">
                  <c:v>-73.706412356939609</c:v>
                </c:pt>
                <c:pt idx="80">
                  <c:v>-74.664496747512885</c:v>
                </c:pt>
                <c:pt idx="81">
                  <c:v>-75.561086111800066</c:v>
                </c:pt>
                <c:pt idx="82">
                  <c:v>-76.398413906162361</c:v>
                </c:pt>
                <c:pt idx="83">
                  <c:v>-77.178774226350399</c:v>
                </c:pt>
                <c:pt idx="84">
                  <c:v>-77.904479293142145</c:v>
                </c:pt>
                <c:pt idx="85">
                  <c:v>-78.577824207270083</c:v>
                </c:pt>
                <c:pt idx="86">
                  <c:v>-79.201058183952796</c:v>
                </c:pt>
                <c:pt idx="87">
                  <c:v>-79.776361453511598</c:v>
                </c:pt>
                <c:pt idx="88">
                  <c:v>-80.305827034308663</c:v>
                </c:pt>
                <c:pt idx="89">
                  <c:v>-80.791446632376392</c:v>
                </c:pt>
                <c:pt idx="90">
                  <c:v>-81.235099986921313</c:v>
                </c:pt>
                <c:pt idx="91">
                  <c:v>-81.638547053768534</c:v>
                </c:pt>
                <c:pt idx="92">
                  <c:v>-82.003422493704093</c:v>
                </c:pt>
                <c:pt idx="93">
                  <c:v>-82.331232005579253</c:v>
                </c:pt>
                <c:pt idx="94">
                  <c:v>-82.623350112495814</c:v>
                </c:pt>
                <c:pt idx="95">
                  <c:v>-82.881019072087355</c:v>
                </c:pt>
                <c:pt idx="96">
                  <c:v>-83.105348638354215</c:v>
                </c:pt>
                <c:pt idx="97">
                  <c:v>-83.297316452753748</c:v>
                </c:pt>
                <c:pt idx="98">
                  <c:v>-83.457768886724779</c:v>
                </c:pt>
                <c:pt idx="99">
                  <c:v>-83.587422197182306</c:v>
                </c:pt>
                <c:pt idx="100">
                  <c:v>-83.686863891551923</c:v>
                </c:pt>
                <c:pt idx="101">
                  <c:v>-83.756554230473171</c:v>
                </c:pt>
                <c:pt idx="102">
                  <c:v>-83.796827825285348</c:v>
                </c:pt>
                <c:pt idx="103">
                  <c:v>-83.80789531470991</c:v>
                </c:pt>
                <c:pt idx="104">
                  <c:v>-83.789845131675648</c:v>
                </c:pt>
                <c:pt idx="105">
                  <c:v>-83.742645397883308</c:v>
                </c:pt>
                <c:pt idx="106">
                  <c:v>-83.666146011381443</c:v>
                </c:pt>
                <c:pt idx="107">
                  <c:v>-83.560081022019901</c:v>
                </c:pt>
                <c:pt idx="108">
                  <c:v>-83.42407142204398</c:v>
                </c:pt>
                <c:pt idx="109">
                  <c:v>-83.257628515162423</c:v>
                </c:pt>
                <c:pt idx="110">
                  <c:v>-83.060158067981547</c:v>
                </c:pt>
                <c:pt idx="111">
                  <c:v>-82.830965493469279</c:v>
                </c:pt>
                <c:pt idx="112">
                  <c:v>-82.569262367653735</c:v>
                </c:pt>
                <c:pt idx="113">
                  <c:v>-82.274174638350871</c:v>
                </c:pt>
                <c:pt idx="114">
                  <c:v>-81.944752948202265</c:v>
                </c:pt>
                <c:pt idx="115">
                  <c:v>-81.579985562893555</c:v>
                </c:pt>
                <c:pt idx="116">
                  <c:v>-81.178814467392016</c:v>
                </c:pt>
                <c:pt idx="117">
                  <c:v>-80.740155265387699</c:v>
                </c:pt>
                <c:pt idx="118">
                  <c:v>-80.262921585107676</c:v>
                </c:pt>
                <c:pt idx="119">
                  <c:v>-79.746054751355828</c:v>
                </c:pt>
                <c:pt idx="120">
                  <c:v>-79.188559519267969</c:v>
                </c:pt>
                <c:pt idx="121">
                  <c:v>-78.589546666877936</c:v>
                </c:pt>
                <c:pt idx="122">
                  <c:v>-77.948283194537098</c:v>
                </c:pt>
                <c:pt idx="123">
                  <c:v>-77.264250759229697</c:v>
                </c:pt>
                <c:pt idx="124">
                  <c:v>-76.537212757541482</c:v>
                </c:pt>
                <c:pt idx="125">
                  <c:v>-75.767290137496175</c:v>
                </c:pt>
                <c:pt idx="126">
                  <c:v>-74.955045542907143</c:v>
                </c:pt>
                <c:pt idx="127">
                  <c:v>-74.101574756065034</c:v>
                </c:pt>
                <c:pt idx="128">
                  <c:v>-73.20860359904529</c:v>
                </c:pt>
                <c:pt idx="129">
                  <c:v>-72.278587493761563</c:v>
                </c:pt>
                <c:pt idx="130">
                  <c:v>-71.314809807378211</c:v>
                </c:pt>
                <c:pt idx="131">
                  <c:v>-70.321474000076662</c:v>
                </c:pt>
                <c:pt idx="132">
                  <c:v>-69.303783564001805</c:v>
                </c:pt>
                <c:pt idx="133">
                  <c:v>-68.268002951006466</c:v>
                </c:pt>
                <c:pt idx="134">
                  <c:v>-67.221492313430701</c:v>
                </c:pt>
                <c:pt idx="135">
                  <c:v>-66.172709107916802</c:v>
                </c:pt>
                <c:pt idx="136">
                  <c:v>-65.131170582341184</c:v>
                </c:pt>
                <c:pt idx="137">
                  <c:v>-64.107372946122453</c:v>
                </c:pt>
                <c:pt idx="138">
                  <c:v>-63.112665560924135</c:v>
                </c:pt>
                <c:pt idx="139">
                  <c:v>-62.159081586101266</c:v>
                </c:pt>
                <c:pt idx="140">
                  <c:v>-61.259129838962345</c:v>
                </c:pt>
                <c:pt idx="141">
                  <c:v>-60.425555758960428</c:v>
                </c:pt>
                <c:pt idx="142">
                  <c:v>-59.671081855530012</c:v>
                </c:pt>
                <c:pt idx="143">
                  <c:v>-59.008139506558088</c:v>
                </c:pt>
                <c:pt idx="144">
                  <c:v>-58.448604255728128</c:v>
                </c:pt>
                <c:pt idx="145">
                  <c:v>-58.003545843366396</c:v>
                </c:pt>
                <c:pt idx="146">
                  <c:v>-57.683002322425907</c:v>
                </c:pt>
                <c:pt idx="147">
                  <c:v>-57.495785146957004</c:v>
                </c:pt>
                <c:pt idx="148">
                  <c:v>-57.449319536127682</c:v>
                </c:pt>
                <c:pt idx="149">
                  <c:v>-57.549522145604094</c:v>
                </c:pt>
                <c:pt idx="150">
                  <c:v>-57.80071643681444</c:v>
                </c:pt>
                <c:pt idx="151">
                  <c:v>-58.205585269238242</c:v>
                </c:pt>
                <c:pt idx="152">
                  <c:v>-58.765160111509857</c:v>
                </c:pt>
                <c:pt idx="153">
                  <c:v>-59.478846670912176</c:v>
                </c:pt>
                <c:pt idx="154">
                  <c:v>-60.344487362776711</c:v>
                </c:pt>
                <c:pt idx="155">
                  <c:v>-61.358461522489264</c:v>
                </c:pt>
                <c:pt idx="156">
                  <c:v>-62.515824274569219</c:v>
                </c:pt>
                <c:pt idx="157">
                  <c:v>-63.810484287349318</c:v>
                </c:pt>
                <c:pt idx="158">
                  <c:v>-65.235419185255424</c:v>
                </c:pt>
                <c:pt idx="159">
                  <c:v>-66.782925275006789</c:v>
                </c:pt>
                <c:pt idx="160">
                  <c:v>-68.444895755702504</c:v>
                </c:pt>
                <c:pt idx="161">
                  <c:v>-70.213119143526242</c:v>
                </c:pt>
                <c:pt idx="162">
                  <c:v>-72.079587713880471</c:v>
                </c:pt>
                <c:pt idx="163">
                  <c:v>-74.036804756452895</c:v>
                </c:pt>
                <c:pt idx="164">
                  <c:v>-76.078079611936118</c:v>
                </c:pt>
                <c:pt idx="165">
                  <c:v>-78.197800861685437</c:v>
                </c:pt>
                <c:pt idx="166">
                  <c:v>-80.391680499548158</c:v>
                </c:pt>
                <c:pt idx="167">
                  <c:v>-82.656965071480386</c:v>
                </c:pt>
                <c:pt idx="168">
                  <c:v>-84.992613159643142</c:v>
                </c:pt>
                <c:pt idx="169">
                  <c:v>-87.399441730024535</c:v>
                </c:pt>
                <c:pt idx="170">
                  <c:v>-89.880246323407576</c:v>
                </c:pt>
                <c:pt idx="171">
                  <c:v>-92.43990150081855</c:v>
                </c:pt>
                <c:pt idx="172">
                  <c:v>-95.085448083150197</c:v>
                </c:pt>
                <c:pt idx="173">
                  <c:v>-97.826172300510763</c:v>
                </c:pt>
                <c:pt idx="174">
                  <c:v>-100.67367868143822</c:v>
                </c:pt>
                <c:pt idx="175">
                  <c:v>-103.64195290101151</c:v>
                </c:pt>
                <c:pt idx="176">
                  <c:v>-106.74740215765958</c:v>
                </c:pt>
                <c:pt idx="177">
                  <c:v>-110.00884794853141</c:v>
                </c:pt>
                <c:pt idx="178">
                  <c:v>-113.44742810822036</c:v>
                </c:pt>
                <c:pt idx="179">
                  <c:v>-117.08634047811643</c:v>
                </c:pt>
                <c:pt idx="180">
                  <c:v>-120.9503292810989</c:v>
                </c:pt>
                <c:pt idx="181">
                  <c:v>-125.06477949822914</c:v>
                </c:pt>
                <c:pt idx="182">
                  <c:v>-129.45425229778232</c:v>
                </c:pt>
                <c:pt idx="183">
                  <c:v>-134.14028411672012</c:v>
                </c:pt>
                <c:pt idx="184">
                  <c:v>-139.13831636374803</c:v>
                </c:pt>
                <c:pt idx="185">
                  <c:v>-144.45376905502431</c:v>
                </c:pt>
                <c:pt idx="186">
                  <c:v>-150.0775650165329</c:v>
                </c:pt>
                <c:pt idx="187">
                  <c:v>-155.98185025234346</c:v>
                </c:pt>
                <c:pt idx="188">
                  <c:v>-162.11712451847563</c:v>
                </c:pt>
                <c:pt idx="189">
                  <c:v>-168.41222095782612</c:v>
                </c:pt>
                <c:pt idx="190">
                  <c:v>-174.77821148192106</c:v>
                </c:pt>
                <c:pt idx="191">
                  <c:v>178.88377568728035</c:v>
                </c:pt>
                <c:pt idx="192">
                  <c:v>172.67230418678793</c:v>
                </c:pt>
                <c:pt idx="193">
                  <c:v>166.67546893300394</c:v>
                </c:pt>
                <c:pt idx="194">
                  <c:v>160.96331048253543</c:v>
                </c:pt>
                <c:pt idx="195">
                  <c:v>155.58418476425257</c:v>
                </c:pt>
                <c:pt idx="196">
                  <c:v>150.56500744530538</c:v>
                </c:pt>
                <c:pt idx="197">
                  <c:v>145.91424701830763</c:v>
                </c:pt>
                <c:pt idx="198">
                  <c:v>141.6262274842905</c:v>
                </c:pt>
                <c:pt idx="199">
                  <c:v>137.68555425781432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2088"/>
        <c:axId val="212211696"/>
      </c:scatterChart>
      <c:valAx>
        <c:axId val="212212088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11696"/>
        <c:crosses val="autoZero"/>
        <c:crossBetween val="midCat"/>
      </c:valAx>
      <c:valAx>
        <c:axId val="212211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120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|Vout</a:t>
            </a:r>
            <a:r>
              <a:rPr lang="en-US" baseline="0"/>
              <a:t> / Verr|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Compensation'!$AJ$1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'9.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</c:numCache>
            </c:numRef>
          </c:xVal>
          <c:yVal>
            <c:numRef>
              <c:f>'9. Loop Compensation'!$AJ$2:$AJ$200</c:f>
              <c:numCache>
                <c:formatCode>General</c:formatCode>
                <c:ptCount val="199"/>
                <c:pt idx="0">
                  <c:v>24.851078807127926</c:v>
                </c:pt>
                <c:pt idx="1">
                  <c:v>24.850930581700752</c:v>
                </c:pt>
                <c:pt idx="2">
                  <c:v>24.850760402378384</c:v>
                </c:pt>
                <c:pt idx="3">
                  <c:v>24.850565018596782</c:v>
                </c:pt>
                <c:pt idx="4">
                  <c:v>24.850340698840135</c:v>
                </c:pt>
                <c:pt idx="5">
                  <c:v>24.850083159587353</c:v>
                </c:pt>
                <c:pt idx="6">
                  <c:v>24.849787483794845</c:v>
                </c:pt>
                <c:pt idx="7">
                  <c:v>24.849448027386593</c:v>
                </c:pt>
                <c:pt idx="8">
                  <c:v>24.849058312000906</c:v>
                </c:pt>
                <c:pt idx="9">
                  <c:v>24.848610901993506</c:v>
                </c:pt>
                <c:pt idx="10">
                  <c:v>24.84809726340993</c:v>
                </c:pt>
                <c:pt idx="11">
                  <c:v>24.84750760231762</c:v>
                </c:pt>
                <c:pt idx="12">
                  <c:v>24.846830679519464</c:v>
                </c:pt>
                <c:pt idx="13">
                  <c:v>24.846053598255367</c:v>
                </c:pt>
                <c:pt idx="14">
                  <c:v>24.845161561028615</c:v>
                </c:pt>
                <c:pt idx="15">
                  <c:v>24.844137591165882</c:v>
                </c:pt>
                <c:pt idx="16">
                  <c:v>24.842962214125343</c:v>
                </c:pt>
                <c:pt idx="17">
                  <c:v>24.8416130929057</c:v>
                </c:pt>
                <c:pt idx="18">
                  <c:v>24.840064611170305</c:v>
                </c:pt>
                <c:pt idx="19">
                  <c:v>24.838287396884603</c:v>
                </c:pt>
                <c:pt idx="20">
                  <c:v>24.836247778368318</c:v>
                </c:pt>
                <c:pt idx="21">
                  <c:v>24.833907163685609</c:v>
                </c:pt>
                <c:pt idx="22">
                  <c:v>24.831221333243676</c:v>
                </c:pt>
                <c:pt idx="23">
                  <c:v>24.828139634348091</c:v>
                </c:pt>
                <c:pt idx="24">
                  <c:v>24.824604065291179</c:v>
                </c:pt>
                <c:pt idx="25">
                  <c:v>24.820548235352675</c:v>
                </c:pt>
                <c:pt idx="26">
                  <c:v>24.815896185910816</c:v>
                </c:pt>
                <c:pt idx="27">
                  <c:v>24.810561056750004</c:v>
                </c:pt>
                <c:pt idx="28">
                  <c:v>24.804443580696173</c:v>
                </c:pt>
                <c:pt idx="29">
                  <c:v>24.797430389011843</c:v>
                </c:pt>
                <c:pt idx="30">
                  <c:v>24.789392109696049</c:v>
                </c:pt>
                <c:pt idx="31">
                  <c:v>24.780181241146991</c:v>
                </c:pt>
                <c:pt idx="32">
                  <c:v>24.769629784809194</c:v>
                </c:pt>
                <c:pt idx="33">
                  <c:v>24.757546622758653</c:v>
                </c:pt>
                <c:pt idx="34">
                  <c:v>24.743714630076212</c:v>
                </c:pt>
                <c:pt idx="35">
                  <c:v>24.727887517803953</c:v>
                </c:pt>
                <c:pt idx="36">
                  <c:v>24.709786410848157</c:v>
                </c:pt>
                <c:pt idx="37">
                  <c:v>24.68909617705237</c:v>
                </c:pt>
                <c:pt idx="38">
                  <c:v>24.665461539557185</c:v>
                </c:pt>
                <c:pt idx="39">
                  <c:v>24.638483025267707</c:v>
                </c:pt>
                <c:pt idx="40">
                  <c:v>24.607712828517883</c:v>
                </c:pt>
                <c:pt idx="41">
                  <c:v>24.572650701470813</c:v>
                </c:pt>
                <c:pt idx="42">
                  <c:v>24.532740021752467</c:v>
                </c:pt>
                <c:pt idx="43">
                  <c:v>24.487364233088055</c:v>
                </c:pt>
                <c:pt idx="44">
                  <c:v>24.435843905308396</c:v>
                </c:pt>
                <c:pt idx="45">
                  <c:v>24.37743471385668</c:v>
                </c:pt>
                <c:pt idx="46">
                  <c:v>24.311326692168507</c:v>
                </c:pt>
                <c:pt idx="47">
                  <c:v>24.23664515741914</c:v>
                </c:pt>
                <c:pt idx="48">
                  <c:v>24.152453743395306</c:v>
                </c:pt>
                <c:pt idx="49">
                  <c:v>24.057759983822574</c:v>
                </c:pt>
                <c:pt idx="50">
                  <c:v>23.951523863899524</c:v>
                </c:pt>
                <c:pt idx="51">
                  <c:v>23.83266968512681</c:v>
                </c:pt>
                <c:pt idx="52">
                  <c:v>23.700101458294533</c:v>
                </c:pt>
                <c:pt idx="53">
                  <c:v>23.552721845372062</c:v>
                </c:pt>
                <c:pt idx="54">
                  <c:v>23.389454414146229</c:v>
                </c:pt>
                <c:pt idx="55">
                  <c:v>23.2092686614704</c:v>
                </c:pt>
                <c:pt idx="56">
                  <c:v>23.011206926420694</c:v>
                </c:pt>
                <c:pt idx="57">
                  <c:v>22.794411990803404</c:v>
                </c:pt>
                <c:pt idx="58">
                  <c:v>22.55815389825343</c:v>
                </c:pt>
                <c:pt idx="59">
                  <c:v>22.301854364382518</c:v>
                </c:pt>
                <c:pt idx="60">
                  <c:v>22.025107141974534</c:v>
                </c:pt>
                <c:pt idx="61">
                  <c:v>21.727692872353064</c:v>
                </c:pt>
                <c:pt idx="62">
                  <c:v>21.4095872956355</c:v>
                </c:pt>
                <c:pt idx="63">
                  <c:v>21.07096217729935</c:v>
                </c:pt>
                <c:pt idx="64">
                  <c:v>20.712178878035438</c:v>
                </c:pt>
                <c:pt idx="65">
                  <c:v>20.333775073206315</c:v>
                </c:pt>
                <c:pt idx="66">
                  <c:v>19.936445640351746</c:v>
                </c:pt>
                <c:pt idx="67">
                  <c:v>19.521019114448489</c:v>
                </c:pt>
                <c:pt idx="68">
                  <c:v>19.088431322408713</c:v>
                </c:pt>
                <c:pt idx="69">
                  <c:v>18.639697842052165</c:v>
                </c:pt>
                <c:pt idx="70">
                  <c:v>18.175886805895264</c:v>
                </c:pt>
                <c:pt idx="71">
                  <c:v>17.698093326059102</c:v>
                </c:pt>
                <c:pt idx="72">
                  <c:v>17.207416502467716</c:v>
                </c:pt>
                <c:pt idx="73">
                  <c:v>16.704939640694892</c:v>
                </c:pt>
                <c:pt idx="74">
                  <c:v>16.191713988455582</c:v>
                </c:pt>
                <c:pt idx="75">
                  <c:v>15.66874602861172</c:v>
                </c:pt>
                <c:pt idx="76">
                  <c:v>15.136988156421394</c:v>
                </c:pt>
                <c:pt idx="77">
                  <c:v>14.597332423065151</c:v>
                </c:pt>
                <c:pt idx="78">
                  <c:v>14.050606941440245</c:v>
                </c:pt>
                <c:pt idx="79">
                  <c:v>13.497574514104455</c:v>
                </c:pt>
                <c:pt idx="80">
                  <c:v>12.93893304527985</c:v>
                </c:pt>
                <c:pt idx="81">
                  <c:v>12.375317327296589</c:v>
                </c:pt>
                <c:pt idx="82">
                  <c:v>11.807301836450797</c:v>
                </c:pt>
                <c:pt idx="83">
                  <c:v>11.235404225705302</c:v>
                </c:pt>
                <c:pt idx="84">
                  <c:v>10.660089255857482</c:v>
                </c:pt>
                <c:pt idx="85">
                  <c:v>10.081772958604745</c:v>
                </c:pt>
                <c:pt idx="86">
                  <c:v>9.5008268718621807</c:v>
                </c:pt>
                <c:pt idx="87">
                  <c:v>8.9175822284793078</c:v>
                </c:pt>
                <c:pt idx="88">
                  <c:v>8.3323340138061646</c:v>
                </c:pt>
                <c:pt idx="89">
                  <c:v>7.7453448356054224</c:v>
                </c:pt>
                <c:pt idx="90">
                  <c:v>7.1568485721517749</c:v>
                </c:pt>
                <c:pt idx="91">
                  <c:v>6.5670537817492214</c:v>
                </c:pt>
                <c:pt idx="92">
                  <c:v>5.9761468701079696</c:v>
                </c:pt>
                <c:pt idx="93">
                  <c:v>5.3842950218206385</c:v>
                </c:pt>
                <c:pt idx="94">
                  <c:v>4.7916489092563026</c:v>
                </c:pt>
                <c:pt idx="95">
                  <c:v>4.1983451971507204</c:v>
                </c:pt>
                <c:pt idx="96">
                  <c:v>3.6045088645311485</c:v>
                </c:pt>
                <c:pt idx="97">
                  <c:v>3.0102553677967898</c:v>
                </c:pt>
                <c:pt idx="98">
                  <c:v>2.4156926701155474</c:v>
                </c:pt>
                <c:pt idx="99">
                  <c:v>1.8209231630702327</c:v>
                </c:pt>
                <c:pt idx="100">
                  <c:v>1.2260455069058955</c:v>
                </c:pt>
                <c:pt idx="101">
                  <c:v>0.63115641593330207</c:v>
                </c:pt>
                <c:pt idx="102">
                  <c:v>3.6352415768421201E-2</c:v>
                </c:pt>
                <c:pt idx="103">
                  <c:v>-0.5582684008131058</c:v>
                </c:pt>
                <c:pt idx="104">
                  <c:v>-1.1526045924916066</c:v>
                </c:pt>
                <c:pt idx="105">
                  <c:v>-1.7465495354042617</c:v>
                </c:pt>
                <c:pt idx="106">
                  <c:v>-2.3399895092514402</c:v>
                </c:pt>
                <c:pt idx="107">
                  <c:v>-2.932801676055556</c:v>
                </c:pt>
                <c:pt idx="108">
                  <c:v>-3.5248519240562262</c:v>
                </c:pt>
                <c:pt idx="109">
                  <c:v>-4.1159925493856395</c:v>
                </c:pt>
                <c:pt idx="110">
                  <c:v>-4.7060597487231339</c:v>
                </c:pt>
                <c:pt idx="111">
                  <c:v>-5.2948708972953327</c:v>
                </c:pt>
                <c:pt idx="112">
                  <c:v>-5.8822215886557441</c:v>
                </c:pt>
                <c:pt idx="113">
                  <c:v>-6.4678824160035289</c:v>
                </c:pt>
                <c:pt idx="114">
                  <c:v>-7.0515954798296443</c:v>
                </c:pt>
                <c:pt idx="115">
                  <c:v>-7.6330706139468152</c:v>
                </c:pt>
                <c:pt idx="116">
                  <c:v>-8.211981332094819</c:v>
                </c:pt>
                <c:pt idx="117">
                  <c:v>-8.7879605110250019</c:v>
                </c:pt>
                <c:pt idx="118">
                  <c:v>-9.3605958440342523</c:v>
                </c:pt>
                <c:pt idx="119">
                  <c:v>-9.9294251221007492</c:v>
                </c:pt>
                <c:pt idx="120">
                  <c:v>-10.493931428785281</c:v>
                </c:pt>
                <c:pt idx="121">
                  <c:v>-11.053538370370795</c:v>
                </c:pt>
                <c:pt idx="122">
                  <c:v>-11.607605504398499</c:v>
                </c:pt>
                <c:pt idx="123">
                  <c:v>-12.155424177241832</c:v>
                </c:pt>
                <c:pt idx="124">
                  <c:v>-12.696214033047738</c:v>
                </c:pt>
                <c:pt idx="125">
                  <c:v>-13.229120509343339</c:v>
                </c:pt>
                <c:pt idx="126">
                  <c:v>-13.753213684167749</c:v>
                </c:pt>
                <c:pt idx="127">
                  <c:v>-14.267488879035428</c:v>
                </c:pt>
                <c:pt idx="128">
                  <c:v>-14.770869442507465</c:v>
                </c:pt>
                <c:pt idx="129">
                  <c:v>-15.262212129925892</c:v>
                </c:pt>
                <c:pt idx="130">
                  <c:v>-15.740315444208564</c:v>
                </c:pt>
                <c:pt idx="131">
                  <c:v>-16.203931199322909</c:v>
                </c:pt>
                <c:pt idx="132">
                  <c:v>-16.651779403922557</c:v>
                </c:pt>
                <c:pt idx="133">
                  <c:v>-17.08256633544811</c:v>
                </c:pt>
                <c:pt idx="134">
                  <c:v>-17.495005391923833</c:v>
                </c:pt>
                <c:pt idx="135">
                  <c:v>-17.887839989015209</c:v>
                </c:pt>
                <c:pt idx="136">
                  <c:v>-18.25986744616797</c:v>
                </c:pt>
                <c:pt idx="137">
                  <c:v>-18.609962521880863</c:v>
                </c:pt>
                <c:pt idx="138">
                  <c:v>-18.937099064742057</c:v>
                </c:pt>
                <c:pt idx="139">
                  <c:v>-19.240368191758613</c:v>
                </c:pt>
                <c:pt idx="140">
                  <c:v>-19.518991523685187</c:v>
                </c:pt>
                <c:pt idx="141">
                  <c:v>-19.772328310211901</c:v>
                </c:pt>
                <c:pt idx="142">
                  <c:v>-19.999875747999191</c:v>
                </c:pt>
                <c:pt idx="143">
                  <c:v>-20.201262383702637</c:v>
                </c:pt>
                <c:pt idx="144">
                  <c:v>-20.376235131441312</c:v>
                </c:pt>
                <c:pt idx="145">
                  <c:v>-20.524641038655744</c:v>
                </c:pt>
                <c:pt idx="146">
                  <c:v>-20.646405430187752</c:v>
                </c:pt>
                <c:pt idx="147">
                  <c:v>-20.741508390466244</c:v>
                </c:pt>
                <c:pt idx="148">
                  <c:v>-20.809961677313858</c:v>
                </c:pt>
                <c:pt idx="149">
                  <c:v>-20.851788095267565</c:v>
                </c:pt>
                <c:pt idx="150">
                  <c:v>-20.867005111530069</c:v>
                </c:pt>
                <c:pt idx="151">
                  <c:v>-20.855614108502962</c:v>
                </c:pt>
                <c:pt idx="152">
                  <c:v>-20.817596174387113</c:v>
                </c:pt>
                <c:pt idx="153">
                  <c:v>-20.752914779063399</c:v>
                </c:pt>
                <c:pt idx="154">
                  <c:v>-20.661525105946055</c:v>
                </c:pt>
                <c:pt idx="155">
                  <c:v>-20.543389250125777</c:v>
                </c:pt>
                <c:pt idx="156">
                  <c:v>-20.398495988192536</c:v>
                </c:pt>
                <c:pt idx="157">
                  <c:v>-20.226883417063139</c:v>
                </c:pt>
                <c:pt idx="158">
                  <c:v>-20.02866248979338</c:v>
                </c:pt>
                <c:pt idx="159">
                  <c:v>-19.804039382812423</c:v>
                </c:pt>
                <c:pt idx="160">
                  <c:v>-19.553334735551626</c:v>
                </c:pt>
                <c:pt idx="161">
                  <c:v>-19.276998113083007</c:v>
                </c:pt>
                <c:pt idx="162">
                  <c:v>-18.975616531259437</c:v>
                </c:pt>
                <c:pt idx="163">
                  <c:v>-18.649916501155126</c:v>
                </c:pt>
                <c:pt idx="164">
                  <c:v>-18.3007597245198</c:v>
                </c:pt>
                <c:pt idx="165">
                  <c:v>-17.929133226441269</c:v>
                </c:pt>
                <c:pt idx="166">
                  <c:v>-17.536135275630247</c:v>
                </c:pt>
                <c:pt idx="167">
                  <c:v>-17.122958868948835</c:v>
                </c:pt>
                <c:pt idx="168">
                  <c:v>-16.690874827920538</c:v>
                </c:pt>
                <c:pt idx="169">
                  <c:v>-16.241216685877898</c:v>
                </c:pt>
                <c:pt idx="170">
                  <c:v>-15.775369576755045</c:v>
                </c:pt>
                <c:pt idx="171">
                  <c:v>-15.294765328521883</c:v>
                </c:pt>
                <c:pt idx="172">
                  <c:v>-14.800885978920666</c:v>
                </c:pt>
                <c:pt idx="173">
                  <c:v>-14.295278024320947</c:v>
                </c:pt>
                <c:pt idx="174">
                  <c:v>-13.779579921144865</c:v>
                </c:pt>
                <c:pt idx="175">
                  <c:v>-13.255565687946696</c:v>
                </c:pt>
                <c:pt idx="176">
                  <c:v>-12.725207856976832</c:v>
                </c:pt>
                <c:pt idx="177">
                  <c:v>-12.190763363562366</c:v>
                </c:pt>
                <c:pt idx="178">
                  <c:v>-11.654885966828729</c:v>
                </c:pt>
                <c:pt idx="179">
                  <c:v>-11.120767971977337</c:v>
                </c:pt>
                <c:pt idx="180">
                  <c:v>-10.592311553988027</c:v>
                </c:pt>
                <c:pt idx="181">
                  <c:v>-10.074324636175298</c:v>
                </c:pt>
                <c:pt idx="182">
                  <c:v>-9.572726460359295</c:v>
                </c:pt>
                <c:pt idx="183">
                  <c:v>-9.0947321652212061</c:v>
                </c:pt>
                <c:pt idx="184">
                  <c:v>-8.6489636081515862</c:v>
                </c:pt>
                <c:pt idx="185">
                  <c:v>-8.2454087411160408</c:v>
                </c:pt>
                <c:pt idx="186">
                  <c:v>-7.8951344639290806</c:v>
                </c:pt>
                <c:pt idx="187">
                  <c:v>-7.6096672182512215</c:v>
                </c:pt>
                <c:pt idx="188">
                  <c:v>-7.4000146808387965</c:v>
                </c:pt>
                <c:pt idx="189">
                  <c:v>-7.2754202558070711</c:v>
                </c:pt>
                <c:pt idx="190">
                  <c:v>-7.2420901475676294</c:v>
                </c:pt>
                <c:pt idx="191">
                  <c:v>-7.3022331899260617</c:v>
                </c:pt>
                <c:pt idx="192">
                  <c:v>-7.4537196440469433</c:v>
                </c:pt>
                <c:pt idx="193">
                  <c:v>-7.6904773344265474</c:v>
                </c:pt>
                <c:pt idx="194">
                  <c:v>-8.0034902595821631</c:v>
                </c:pt>
                <c:pt idx="195">
                  <c:v>-8.3820858557968307</c:v>
                </c:pt>
                <c:pt idx="196">
                  <c:v>-8.8151741461625726</c:v>
                </c:pt>
                <c:pt idx="197">
                  <c:v>-9.2922087186820175</c:v>
                </c:pt>
                <c:pt idx="198">
                  <c:v>-9.8037875096364608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0912"/>
        <c:axId val="212212872"/>
      </c:scatterChart>
      <c:valAx>
        <c:axId val="212210912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212872"/>
        <c:crosses val="autoZero"/>
        <c:crossBetween val="midCat"/>
      </c:valAx>
      <c:valAx>
        <c:axId val="212212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109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Verr</a:t>
            </a:r>
            <a:r>
              <a:rPr lang="en-US" baseline="0"/>
              <a:t> / Vout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Compensation'!$AQ$1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'9.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  <c:pt idx="199">
                  <c:v>933254.30079698924</c:v>
                </c:pt>
              </c:numCache>
            </c:numRef>
          </c:xVal>
          <c:yVal>
            <c:numRef>
              <c:f>'9. Loop Compensation'!$AQ$2:$AQ$201</c:f>
              <c:numCache>
                <c:formatCode>General</c:formatCode>
                <c:ptCount val="200"/>
                <c:pt idx="0">
                  <c:v>169.32775496784163</c:v>
                </c:pt>
                <c:pt idx="1">
                  <c:v>168.58427768684754</c:v>
                </c:pt>
                <c:pt idx="2">
                  <c:v>167.79202483666003</c:v>
                </c:pt>
                <c:pt idx="3">
                  <c:v>166.94845721104628</c:v>
                </c:pt>
                <c:pt idx="4">
                  <c:v>166.05104809985235</c:v>
                </c:pt>
                <c:pt idx="5">
                  <c:v>165.09731975632786</c:v>
                </c:pt>
                <c:pt idx="6">
                  <c:v>164.08488744841907</c:v>
                </c:pt>
                <c:pt idx="7">
                  <c:v>163.01151175076134</c:v>
                </c:pt>
                <c:pt idx="8">
                  <c:v>161.87515953162622</c:v>
                </c:pt>
                <c:pt idx="9">
                  <c:v>160.67407377002641</c:v>
                </c:pt>
                <c:pt idx="10">
                  <c:v>159.40685187921122</c:v>
                </c:pt>
                <c:pt idx="11">
                  <c:v>158.07253159625253</c:v>
                </c:pt>
                <c:pt idx="12">
                  <c:v>156.67068271742104</c:v>
                </c:pt>
                <c:pt idx="13">
                  <c:v>155.20150202936657</c:v>
                </c:pt>
                <c:pt idx="14">
                  <c:v>153.66590774859262</c:v>
                </c:pt>
                <c:pt idx="15">
                  <c:v>152.06562871425885</c:v>
                </c:pt>
                <c:pt idx="16">
                  <c:v>150.4032825999542</c:v>
                </c:pt>
                <c:pt idx="17">
                  <c:v>148.68243667450938</c:v>
                </c:pt>
                <c:pt idx="18">
                  <c:v>146.90764433088728</c:v>
                </c:pt>
                <c:pt idx="19">
                  <c:v>145.08445089618166</c:v>
                </c:pt>
                <c:pt idx="20">
                  <c:v>143.21936327826245</c:v>
                </c:pt>
                <c:pt idx="21">
                  <c:v>141.31977985842073</c:v>
                </c:pt>
                <c:pt idx="22">
                  <c:v>139.39387964629208</c:v>
                </c:pt>
                <c:pt idx="23">
                  <c:v>137.45047287050619</c:v>
                </c:pt>
                <c:pt idx="24">
                  <c:v>135.49881854423853</c:v>
                </c:pt>
                <c:pt idx="25">
                  <c:v>133.54841768132877</c:v>
                </c:pt>
                <c:pt idx="26">
                  <c:v>131.60879328798927</c:v>
                </c:pt>
                <c:pt idx="27">
                  <c:v>129.68926963267214</c:v>
                </c:pt>
                <c:pt idx="28">
                  <c:v>127.79876337701312</c:v>
                </c:pt>
                <c:pt idx="29">
                  <c:v>125.94559792055773</c:v>
                </c:pt>
                <c:pt idx="30">
                  <c:v>124.13734997324359</c:v>
                </c:pt>
                <c:pt idx="31">
                  <c:v>122.38073429204888</c:v>
                </c:pt>
                <c:pt idx="32">
                  <c:v>120.68152915600392</c:v>
                </c:pt>
                <c:pt idx="33">
                  <c:v>119.04454195162471</c:v>
                </c:pt>
                <c:pt idx="34">
                  <c:v>117.47361155491053</c:v>
                </c:pt>
                <c:pt idx="35">
                  <c:v>115.97164224682122</c:v>
                </c:pt>
                <c:pt idx="36">
                  <c:v>114.54066276130089</c:v>
                </c:pt>
                <c:pt idx="37">
                  <c:v>113.18190368819558</c:v>
                </c:pt>
                <c:pt idx="38">
                  <c:v>111.89588670162655</c:v>
                </c:pt>
                <c:pt idx="39">
                  <c:v>110.68251977932846</c:v>
                </c:pt>
                <c:pt idx="40">
                  <c:v>109.54119353785148</c:v>
                </c:pt>
                <c:pt idx="41">
                  <c:v>108.47087487275043</c:v>
                </c:pt>
                <c:pt idx="42">
                  <c:v>107.47019513905352</c:v>
                </c:pt>
                <c:pt idx="43">
                  <c:v>106.53753105292498</c:v>
                </c:pt>
                <c:pt idx="44">
                  <c:v>105.67107729460965</c:v>
                </c:pt>
                <c:pt idx="45">
                  <c:v>104.86891042884898</c:v>
                </c:pt>
                <c:pt idx="46">
                  <c:v>104.12904423589556</c:v>
                </c:pt>
                <c:pt idx="47">
                  <c:v>103.44947688064073</c:v>
                </c:pt>
                <c:pt idx="48">
                  <c:v>102.82823056205527</c:v>
                </c:pt>
                <c:pt idx="49">
                  <c:v>102.26338440465241</c:v>
                </c:pt>
                <c:pt idx="50">
                  <c:v>101.75310140123908</c:v>
                </c:pt>
                <c:pt idx="51">
                  <c:v>101.29565021213396</c:v>
                </c:pt>
                <c:pt idx="52">
                  <c:v>100.88942258704277</c:v>
                </c:pt>
                <c:pt idx="53">
                  <c:v>100.53294711498495</c:v>
                </c:pt>
                <c:pt idx="54">
                  <c:v>100.2248999348727</c:v>
                </c:pt>
                <c:pt idx="55">
                  <c:v>99.964112961532038</c:v>
                </c:pt>
                <c:pt idx="56">
                  <c:v>99.749580103820904</c:v>
                </c:pt>
                <c:pt idx="57">
                  <c:v>99.580461875951556</c:v>
                </c:pt>
                <c:pt idx="58">
                  <c:v>99.456088731738092</c:v>
                </c:pt>
                <c:pt idx="59">
                  <c:v>99.375963384847324</c:v>
                </c:pt>
                <c:pt idx="60">
                  <c:v>99.339762316137708</c:v>
                </c:pt>
                <c:pt idx="61">
                  <c:v>99.347336611237225</c:v>
                </c:pt>
                <c:pt idx="62">
                  <c:v>99.398712216745039</c:v>
                </c:pt>
                <c:pt idx="63">
                  <c:v>99.494089650749956</c:v>
                </c:pt>
                <c:pt idx="64">
                  <c:v>99.633843151537832</c:v>
                </c:pt>
                <c:pt idx="65">
                  <c:v>99.818519196154597</c:v>
                </c:pt>
                <c:pt idx="66">
                  <c:v>100.04883426669041</c:v>
                </c:pt>
                <c:pt idx="67">
                  <c:v>100.32567168558369</c:v>
                </c:pt>
                <c:pt idx="68">
                  <c:v>100.65007728094858</c:v>
                </c:pt>
                <c:pt idx="69">
                  <c:v>101.02325357815734</c:v>
                </c:pt>
                <c:pt idx="70">
                  <c:v>101.44655214436393</c:v>
                </c:pt>
                <c:pt idx="71">
                  <c:v>101.9214636386059</c:v>
                </c:pt>
                <c:pt idx="72">
                  <c:v>102.44960504270925</c:v>
                </c:pt>
                <c:pt idx="73">
                  <c:v>103.03270346977598</c:v>
                </c:pt>
                <c:pt idx="74">
                  <c:v>103.67257587147446</c:v>
                </c:pt>
                <c:pt idx="75">
                  <c:v>104.37110389868546</c:v>
                </c:pt>
                <c:pt idx="76">
                  <c:v>105.13020312089058</c:v>
                </c:pt>
                <c:pt idx="77">
                  <c:v>105.95178578975197</c:v>
                </c:pt>
                <c:pt idx="78">
                  <c:v>106.83771635690374</c:v>
                </c:pt>
                <c:pt idx="79">
                  <c:v>107.78975904393882</c:v>
                </c:pt>
                <c:pt idx="80">
                  <c:v>108.80951693616186</c:v>
                </c:pt>
                <c:pt idx="81">
                  <c:v>109.8983623551363</c:v>
                </c:pt>
                <c:pt idx="82">
                  <c:v>111.05735868236913</c:v>
                </c:pt>
                <c:pt idx="83">
                  <c:v>112.28717437741365</c:v>
                </c:pt>
                <c:pt idx="84">
                  <c:v>113.58799066811667</c:v>
                </c:pt>
                <c:pt idx="85">
                  <c:v>114.95940528129096</c:v>
                </c:pt>
                <c:pt idx="86">
                  <c:v>116.40033559557786</c:v>
                </c:pt>
                <c:pt idx="87">
                  <c:v>117.90892566757317</c:v>
                </c:pt>
                <c:pt idx="88">
                  <c:v>119.48246260073051</c:v>
                </c:pt>
                <c:pt idx="89">
                  <c:v>121.11730854817593</c:v>
                </c:pt>
                <c:pt idx="90">
                  <c:v>122.80885508969072</c:v>
                </c:pt>
                <c:pt idx="91">
                  <c:v>124.55150661588223</c:v>
                </c:pt>
                <c:pt idx="92">
                  <c:v>126.33869853085976</c:v>
                </c:pt>
                <c:pt idx="93">
                  <c:v>128.16295445868505</c:v>
                </c:pt>
                <c:pt idx="94">
                  <c:v>130.01598422933608</c:v>
                </c:pt>
                <c:pt idx="95">
                  <c:v>131.88882138830422</c:v>
                </c:pt>
                <c:pt idx="96">
                  <c:v>133.77199562565761</c:v>
                </c:pt>
                <c:pt idx="97">
                  <c:v>135.65573227269925</c:v>
                </c:pt>
                <c:pt idx="98">
                  <c:v>137.53016832858017</c:v>
                </c:pt>
                <c:pt idx="99">
                  <c:v>139.38557277011543</c:v>
                </c:pt>
                <c:pt idx="100">
                  <c:v>141.21255844289286</c:v>
                </c:pt>
                <c:pt idx="101">
                  <c:v>143.00227370603369</c:v>
                </c:pt>
                <c:pt idx="102">
                  <c:v>144.74656406232955</c:v>
                </c:pt>
                <c:pt idx="103">
                  <c:v>146.43809692003703</c:v>
                </c:pt>
                <c:pt idx="104">
                  <c:v>148.07044596233894</c:v>
                </c:pt>
                <c:pt idx="105">
                  <c:v>149.63813488907044</c:v>
                </c:pt>
                <c:pt idx="106">
                  <c:v>151.13664315537085</c:v>
                </c:pt>
                <c:pt idx="107">
                  <c:v>152.56237850244017</c:v>
                </c:pt>
                <c:pt idx="108">
                  <c:v>153.91262244194223</c:v>
                </c:pt>
                <c:pt idx="109">
                  <c:v>155.18545543649515</c:v>
                </c:pt>
                <c:pt idx="110">
                  <c:v>156.37966843070205</c:v>
                </c:pt>
                <c:pt idx="111">
                  <c:v>157.49466680106954</c:v>
                </c:pt>
                <c:pt idx="112">
                  <c:v>158.5303718934062</c:v>
                </c:pt>
                <c:pt idx="113">
                  <c:v>159.4871242709408</c:v>
                </c:pt>
                <c:pt idx="114">
                  <c:v>160.36559173957238</c:v>
                </c:pt>
                <c:pt idx="115">
                  <c:v>161.16668424224468</c:v>
                </c:pt>
                <c:pt idx="116">
                  <c:v>161.89147687816791</c:v>
                </c:pt>
                <c:pt idx="117">
                  <c:v>162.54114162873452</c:v>
                </c:pt>
                <c:pt idx="118">
                  <c:v>163.11688786180403</c:v>
                </c:pt>
                <c:pt idx="119">
                  <c:v>163.61991132614108</c:v>
                </c:pt>
                <c:pt idx="120">
                  <c:v>164.05135111695429</c:v>
                </c:pt>
                <c:pt idx="121">
                  <c:v>164.41225396773049</c:v>
                </c:pt>
                <c:pt idx="122">
                  <c:v>164.70354517959038</c:v>
                </c:pt>
                <c:pt idx="123">
                  <c:v>164.92600551651009</c:v>
                </c:pt>
                <c:pt idx="124">
                  <c:v>165.0802534557327</c:v>
                </c:pt>
                <c:pt idx="125">
                  <c:v>165.16673227396961</c:v>
                </c:pt>
                <c:pt idx="126">
                  <c:v>165.18570156129249</c:v>
                </c:pt>
                <c:pt idx="127">
                  <c:v>165.13723287852935</c:v>
                </c:pt>
                <c:pt idx="128">
                  <c:v>165.02120940517452</c:v>
                </c:pt>
                <c:pt idx="129">
                  <c:v>164.83732955950177</c:v>
                </c:pt>
                <c:pt idx="130">
                  <c:v>164.5851147076568</c:v>
                </c:pt>
                <c:pt idx="131">
                  <c:v>164.26392121105479</c:v>
                </c:pt>
                <c:pt idx="132">
                  <c:v>163.87295718788315</c:v>
                </c:pt>
                <c:pt idx="133">
                  <c:v>163.41130448009147</c:v>
                </c:pt>
                <c:pt idx="134">
                  <c:v>162.87794641519289</c:v>
                </c:pt>
                <c:pt idx="135">
                  <c:v>162.27180202310214</c:v>
                </c:pt>
                <c:pt idx="136">
                  <c:v>161.59176739952758</c:v>
                </c:pt>
                <c:pt idx="137">
                  <c:v>160.83676488292841</c:v>
                </c:pt>
                <c:pt idx="138">
                  <c:v>160.00580061200262</c:v>
                </c:pt>
                <c:pt idx="139">
                  <c:v>159.09803083236977</c:v>
                </c:pt>
                <c:pt idx="140">
                  <c:v>158.11283700051234</c:v>
                </c:pt>
                <c:pt idx="141">
                  <c:v>157.04990926767823</c:v>
                </c:pt>
                <c:pt idx="142">
                  <c:v>155.90933730005818</c:v>
                </c:pt>
                <c:pt idx="143">
                  <c:v>154.69170660043352</c:v>
                </c:pt>
                <c:pt idx="144">
                  <c:v>153.39819755746606</c:v>
                </c:pt>
                <c:pt idx="145">
                  <c:v>152.03068340779907</c:v>
                </c:pt>
                <c:pt idx="146">
                  <c:v>150.59182223568402</c:v>
                </c:pt>
                <c:pt idx="147">
                  <c:v>149.08513717781091</c:v>
                </c:pt>
                <c:pt idx="148">
                  <c:v>147.51507830694874</c:v>
                </c:pt>
                <c:pt idx="149">
                  <c:v>145.88705941930093</c:v>
                </c:pt>
                <c:pt idx="150">
                  <c:v>144.20746332549422</c:v>
                </c:pt>
                <c:pt idx="151">
                  <c:v>142.48361038045365</c:v>
                </c:pt>
                <c:pt idx="152">
                  <c:v>140.72368693387392</c:v>
                </c:pt>
                <c:pt idx="153">
                  <c:v>138.93663306661364</c:v>
                </c:pt>
                <c:pt idx="154">
                  <c:v>137.131992179376</c:v>
                </c:pt>
                <c:pt idx="155">
                  <c:v>135.31972836295165</c:v>
                </c:pt>
                <c:pt idx="156">
                  <c:v>133.5100205596099</c:v>
                </c:pt>
                <c:pt idx="157">
                  <c:v>131.71304486860879</c:v>
                </c:pt>
                <c:pt idx="158">
                  <c:v>129.93875758490475</c:v>
                </c:pt>
                <c:pt idx="159">
                  <c:v>128.19669148600065</c:v>
                </c:pt>
                <c:pt idx="160">
                  <c:v>126.49577650970612</c:v>
                </c:pt>
                <c:pt idx="161">
                  <c:v>124.84419351987812</c:v>
                </c:pt>
                <c:pt idx="162">
                  <c:v>123.24926672195016</c:v>
                </c:pt>
                <c:pt idx="163">
                  <c:v>121.71739692301696</c:v>
                </c:pt>
                <c:pt idx="164">
                  <c:v>120.25403467039649</c:v>
                </c:pt>
                <c:pt idx="165">
                  <c:v>118.86368969012764</c:v>
                </c:pt>
                <c:pt idx="166">
                  <c:v>117.54997118625468</c:v>
                </c:pt>
                <c:pt idx="167">
                  <c:v>116.31565251168682</c:v>
                </c:pt>
                <c:pt idx="168">
                  <c:v>115.16275341941576</c:v>
                </c:pt>
                <c:pt idx="169">
                  <c:v>114.092633405534</c:v>
                </c:pt>
                <c:pt idx="170">
                  <c:v>113.10609038215651</c:v>
                </c:pt>
                <c:pt idx="171">
                  <c:v>112.20345988787064</c:v>
                </c:pt>
                <c:pt idx="172">
                  <c:v>111.38471109956498</c:v>
                </c:pt>
                <c:pt idx="173">
                  <c:v>110.6495369336908</c:v>
                </c:pt>
                <c:pt idx="174">
                  <c:v>109.99743643875121</c:v>
                </c:pt>
                <c:pt idx="175">
                  <c:v>109.42778844148563</c:v>
                </c:pt>
                <c:pt idx="176">
                  <c:v>108.93991600239688</c:v>
                </c:pt>
                <c:pt idx="177">
                  <c:v>108.53314166714624</c:v>
                </c:pt>
                <c:pt idx="178">
                  <c:v>108.20683378591471</c:v>
                </c:pt>
                <c:pt idx="179">
                  <c:v>107.96044433579434</c:v>
                </c:pt>
                <c:pt idx="180">
                  <c:v>107.79353874563382</c:v>
                </c:pt>
                <c:pt idx="181">
                  <c:v>107.70581821122981</c:v>
                </c:pt>
                <c:pt idx="182">
                  <c:v>107.69713492126043</c:v>
                </c:pt>
                <c:pt idx="183">
                  <c:v>107.76750050781882</c:v>
                </c:pt>
                <c:pt idx="184">
                  <c:v>107.91708790383551</c:v>
                </c:pt>
                <c:pt idx="185">
                  <c:v>108.1462266449731</c:v>
                </c:pt>
                <c:pt idx="186">
                  <c:v>108.45539150633779</c:v>
                </c:pt>
                <c:pt idx="187">
                  <c:v>108.84518422495219</c:v>
                </c:pt>
                <c:pt idx="188">
                  <c:v>109.31630793847748</c:v>
                </c:pt>
                <c:pt idx="189">
                  <c:v>109.86953388207752</c:v>
                </c:pt>
                <c:pt idx="190">
                  <c:v>110.50565984395472</c:v>
                </c:pt>
                <c:pt idx="191">
                  <c:v>111.2254599044484</c:v>
                </c:pt>
                <c:pt idx="192">
                  <c:v>112.02962509509224</c:v>
                </c:pt>
                <c:pt idx="193">
                  <c:v>112.91869483629495</c:v>
                </c:pt>
                <c:pt idx="194">
                  <c:v>113.89297936911805</c:v>
                </c:pt>
                <c:pt idx="195">
                  <c:v>114.9524739084201</c:v>
                </c:pt>
                <c:pt idx="196">
                  <c:v>116.09676592332704</c:v>
                </c:pt>
                <c:pt idx="197">
                  <c:v>117.32493779283436</c:v>
                </c:pt>
                <c:pt idx="198">
                  <c:v>118.6354680617078</c:v>
                </c:pt>
                <c:pt idx="199">
                  <c:v>120.02613557475257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73024"/>
        <c:axId val="211572632"/>
      </c:scatterChart>
      <c:valAx>
        <c:axId val="211573024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572632"/>
        <c:crosses val="autoZero"/>
        <c:crossBetween val="midCat"/>
      </c:valAx>
      <c:valAx>
        <c:axId val="211572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5730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|Verr</a:t>
            </a:r>
            <a:r>
              <a:rPr lang="en-US" baseline="0"/>
              <a:t> / Vout|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Compensation'!$AR$1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'9.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</c:numCache>
            </c:numRef>
          </c:xVal>
          <c:yVal>
            <c:numRef>
              <c:f>'9. Loop Compensation'!$AR$2:$AR$200</c:f>
              <c:numCache>
                <c:formatCode>General</c:formatCode>
                <c:ptCount val="199"/>
                <c:pt idx="0">
                  <c:v>52.556045435962268</c:v>
                </c:pt>
                <c:pt idx="1">
                  <c:v>52.533739960699819</c:v>
                </c:pt>
                <c:pt idx="2">
                  <c:v>52.508270347316525</c:v>
                </c:pt>
                <c:pt idx="3">
                  <c:v>52.47921035991218</c:v>
                </c:pt>
                <c:pt idx="4">
                  <c:v>52.44608310003396</c:v>
                </c:pt>
                <c:pt idx="5">
                  <c:v>52.408356976183825</c:v>
                </c:pt>
                <c:pt idx="6">
                  <c:v>52.365441955187997</c:v>
                </c:pt>
                <c:pt idx="7">
                  <c:v>52.316686319223464</c:v>
                </c:pt>
                <c:pt idx="8">
                  <c:v>52.26137420503558</c:v>
                </c:pt>
                <c:pt idx="9">
                  <c:v>52.19872425592137</c:v>
                </c:pt>
                <c:pt idx="10">
                  <c:v>52.127889767660832</c:v>
                </c:pt>
                <c:pt idx="11">
                  <c:v>52.047960749970969</c:v>
                </c:pt>
                <c:pt idx="12">
                  <c:v>51.957968346276935</c:v>
                </c:pt>
                <c:pt idx="13">
                  <c:v>51.856892045799029</c:v>
                </c:pt>
                <c:pt idx="14">
                  <c:v>51.743670071223178</c:v>
                </c:pt>
                <c:pt idx="15">
                  <c:v>51.617213221157634</c:v>
                </c:pt>
                <c:pt idx="16">
                  <c:v>51.476422280663485</c:v>
                </c:pt>
                <c:pt idx="17">
                  <c:v>51.320208882839857</c:v>
                </c:pt>
                <c:pt idx="18">
                  <c:v>51.147519416482218</c:v>
                </c:pt>
                <c:pt idx="19">
                  <c:v>50.957361247979236</c:v>
                </c:pt>
                <c:pt idx="20">
                  <c:v>50.748830191785345</c:v>
                </c:pt>
                <c:pt idx="21">
                  <c:v>50.521137866355481</c:v>
                </c:pt>
                <c:pt idx="22">
                  <c:v>50.273637360954822</c:v>
                </c:pt>
                <c:pt idx="23">
                  <c:v>50.005845560463904</c:v>
                </c:pt>
                <c:pt idx="24">
                  <c:v>49.717460564408007</c:v>
                </c:pt>
                <c:pt idx="25">
                  <c:v>49.408372904138275</c:v>
                </c:pt>
                <c:pt idx="26">
                  <c:v>49.078669690235806</c:v>
                </c:pt>
                <c:pt idx="27">
                  <c:v>48.728631363374944</c:v>
                </c:pt>
                <c:pt idx="28">
                  <c:v>48.358721306696346</c:v>
                </c:pt>
                <c:pt idx="29">
                  <c:v>47.969569128086931</c:v>
                </c:pt>
                <c:pt idx="30">
                  <c:v>47.561948865451448</c:v>
                </c:pt>
                <c:pt idx="31">
                  <c:v>47.136753656508681</c:v>
                </c:pt>
                <c:pt idx="32">
                  <c:v>46.694968525076675</c:v>
                </c:pt>
                <c:pt idx="33">
                  <c:v>46.237642876128398</c:v>
                </c:pt>
                <c:pt idx="34">
                  <c:v>45.765864094059346</c:v>
                </c:pt>
                <c:pt idx="35">
                  <c:v>45.280733348835057</c:v>
                </c:pt>
                <c:pt idx="36">
                  <c:v>44.783344382810419</c:v>
                </c:pt>
                <c:pt idx="37">
                  <c:v>44.274765721476328</c:v>
                </c:pt>
                <c:pt idx="38">
                  <c:v>43.756026457629638</c:v>
                </c:pt>
                <c:pt idx="39">
                  <c:v>43.228105520810949</c:v>
                </c:pt>
                <c:pt idx="40">
                  <c:v>42.691924170355556</c:v>
                </c:pt>
                <c:pt idx="41">
                  <c:v>42.148341339456977</c:v>
                </c:pt>
                <c:pt idx="42">
                  <c:v>41.598151401279011</c:v>
                </c:pt>
                <c:pt idx="43">
                  <c:v>41.04208391517777</c:v>
                </c:pt>
                <c:pt idx="44">
                  <c:v>40.480804929553756</c:v>
                </c:pt>
                <c:pt idx="45">
                  <c:v>39.914919456727269</c:v>
                </c:pt>
                <c:pt idx="46">
                  <c:v>39.344974785308693</c:v>
                </c:pt>
                <c:pt idx="47">
                  <c:v>38.771464349789781</c:v>
                </c:pt>
                <c:pt idx="48">
                  <c:v>38.19483193053798</c:v>
                </c:pt>
                <c:pt idx="49">
                  <c:v>37.615476006895527</c:v>
                </c:pt>
                <c:pt idx="50">
                  <c:v>37.03375412990831</c:v>
                </c:pt>
                <c:pt idx="51">
                  <c:v>36.449987218647458</c:v>
                </c:pt>
                <c:pt idx="52">
                  <c:v>35.864463715144261</c:v>
                </c:pt>
                <c:pt idx="53">
                  <c:v>35.277443558075319</c:v>
                </c:pt>
                <c:pt idx="54">
                  <c:v>34.6891619551944</c:v>
                </c:pt>
                <c:pt idx="55">
                  <c:v>34.099832949882334</c:v>
                </c:pt>
                <c:pt idx="56">
                  <c:v>33.509652788846836</c:v>
                </c:pt>
                <c:pt idx="57">
                  <c:v>32.918803106677011</c:v>
                </c:pt>
                <c:pt idx="58">
                  <c:v>32.327453949269078</c:v>
                </c:pt>
                <c:pt idx="59">
                  <c:v>31.735766662632482</c:v>
                </c:pt>
                <c:pt idx="60">
                  <c:v>31.143896676689501</c:v>
                </c:pt>
                <c:pt idx="61">
                  <c:v>30.551996215744765</c:v>
                </c:pt>
                <c:pt idx="62">
                  <c:v>29.960216968564339</c:v>
                </c:pt>
                <c:pt idx="63">
                  <c:v>29.368712751646065</c:v>
                </c:pt>
                <c:pt idx="64">
                  <c:v>28.77764219936266</c:v>
                </c:pt>
                <c:pt idx="65">
                  <c:v>28.187171514241193</c:v>
                </c:pt>
                <c:pt idx="66">
                  <c:v>27.59747730963786</c:v>
                </c:pt>
                <c:pt idx="67">
                  <c:v>27.008749575348205</c:v>
                </c:pt>
                <c:pt idx="68">
                  <c:v>26.421194794039472</c:v>
                </c:pt>
                <c:pt idx="69">
                  <c:v>25.835039232495369</c:v>
                </c:pt>
                <c:pt idx="70">
                  <c:v>25.250532426138001</c:v>
                </c:pt>
                <c:pt idx="71">
                  <c:v>24.667950867629923</c:v>
                </c:pt>
                <c:pt idx="72">
                  <c:v>24.087601899971549</c:v>
                </c:pt>
                <c:pt idx="73">
                  <c:v>23.509827800707495</c:v>
                </c:pt>
                <c:pt idx="74">
                  <c:v>22.935010025879237</c:v>
                </c:pt>
                <c:pt idx="75">
                  <c:v>22.363573559433473</c:v>
                </c:pt>
                <c:pt idx="76">
                  <c:v>21.795991285175866</c:v>
                </c:pt>
                <c:pt idx="77">
                  <c:v>21.232788263504005</c:v>
                </c:pt>
                <c:pt idx="78">
                  <c:v>20.674545753830703</c:v>
                </c:pt>
                <c:pt idx="79">
                  <c:v>20.12190477622477</c:v>
                </c:pt>
                <c:pt idx="80">
                  <c:v>19.575568953608023</c:v>
                </c:pt>
                <c:pt idx="81">
                  <c:v>19.03630632141671</c:v>
                </c:pt>
                <c:pt idx="82">
                  <c:v>18.504949739145736</c:v>
                </c:pt>
                <c:pt idx="83">
                  <c:v>17.982395493840283</c:v>
                </c:pt>
                <c:pt idx="84">
                  <c:v>17.469599657716604</c:v>
                </c:pt>
                <c:pt idx="85">
                  <c:v>16.967571761060157</c:v>
                </c:pt>
                <c:pt idx="86">
                  <c:v>16.47736537909681</c:v>
                </c:pt>
                <c:pt idx="87">
                  <c:v>16.000065319409696</c:v>
                </c:pt>
                <c:pt idx="88">
                  <c:v>15.536771244288277</c:v>
                </c:pt>
                <c:pt idx="89">
                  <c:v>15.088577774699852</c:v>
                </c:pt>
                <c:pt idx="90">
                  <c:v>14.656551395550464</c:v>
                </c:pt>
                <c:pt idx="91">
                  <c:v>14.241704800363335</c:v>
                </c:pt>
                <c:pt idx="92">
                  <c:v>13.844969649194594</c:v>
                </c:pt>
                <c:pt idx="93">
                  <c:v>13.467169026007502</c:v>
                </c:pt>
                <c:pt idx="94">
                  <c:v>13.108991122259404</c:v>
                </c:pt>
                <c:pt idx="95">
                  <c:v>12.770965793209131</c:v>
                </c:pt>
                <c:pt idx="96">
                  <c:v>12.453445593472498</c:v>
                </c:pt>
                <c:pt idx="97">
                  <c:v>12.156592680127961</c:v>
                </c:pt>
                <c:pt idx="98">
                  <c:v>11.88037258481299</c:v>
                </c:pt>
                <c:pt idx="99">
                  <c:v>11.624555340385481</c:v>
                </c:pt>
                <c:pt idx="100">
                  <c:v>11.388723867202565</c:v>
                </c:pt>
                <c:pt idx="101">
                  <c:v>11.172288956100074</c:v>
                </c:pt>
                <c:pt idx="102">
                  <c:v>10.974509704415023</c:v>
                </c:pt>
                <c:pt idx="103">
                  <c:v>10.794517925368645</c:v>
                </c:pt>
                <c:pt idx="104">
                  <c:v>10.631344890066574</c:v>
                </c:pt>
                <c:pt idx="105">
                  <c:v>10.483948775396154</c:v>
                </c:pt>
                <c:pt idx="106">
                  <c:v>10.351241354117171</c:v>
                </c:pt>
                <c:pt idx="107">
                  <c:v>10.232112732136049</c:v>
                </c:pt>
                <c:pt idx="108">
                  <c:v>10.125453262484292</c:v>
                </c:pt>
                <c:pt idx="109">
                  <c:v>10.030172099204034</c:v>
                </c:pt>
                <c:pt idx="110">
                  <c:v>9.9452121602799632</c:v>
                </c:pt>
                <c:pt idx="111">
                  <c:v>9.8695615229293381</c:v>
                </c:pt>
                <c:pt idx="112">
                  <c:v>9.8022614656657225</c:v>
                </c:pt>
                <c:pt idx="113">
                  <c:v>9.7424114988142296</c:v>
                </c:pt>
                <c:pt idx="114">
                  <c:v>9.6891717950866525</c:v>
                </c:pt>
                <c:pt idx="115">
                  <c:v>9.6417634550022466</c:v>
                </c:pt>
                <c:pt idx="116">
                  <c:v>9.5994670303141199</c:v>
                </c:pt>
                <c:pt idx="117">
                  <c:v>9.561619693587037</c:v>
                </c:pt>
                <c:pt idx="118">
                  <c:v>9.5276113934584483</c:v>
                </c:pt>
                <c:pt idx="119">
                  <c:v>9.4968802805800934</c:v>
                </c:pt>
                <c:pt idx="120">
                  <c:v>9.468907634338029</c:v>
                </c:pt>
                <c:pt idx="121">
                  <c:v>9.4432124688748171</c:v>
                </c:pt>
                <c:pt idx="122">
                  <c:v>9.4193459508586663</c:v>
                </c:pt>
                <c:pt idx="123">
                  <c:v>9.396885721925397</c:v>
                </c:pt>
                <c:pt idx="124">
                  <c:v>9.3754301860593383</c:v>
                </c:pt>
                <c:pt idx="125">
                  <c:v>9.3545927962181086</c:v>
                </c:pt>
                <c:pt idx="126">
                  <c:v>9.3339963548473328</c:v>
                </c:pt>
                <c:pt idx="127">
                  <c:v>9.313267329116826</c:v>
                </c:pt>
                <c:pt idx="128">
                  <c:v>9.2920301733288539</c:v>
                </c:pt>
                <c:pt idx="129">
                  <c:v>9.2699016477175959</c:v>
                </c:pt>
                <c:pt idx="130">
                  <c:v>9.2464851246621151</c:v>
                </c:pt>
                <c:pt idx="131">
                  <c:v>9.2213648802335957</c:v>
                </c:pt>
                <c:pt idx="132">
                  <c:v>9.1941003812381279</c:v>
                </c:pt>
                <c:pt idx="133">
                  <c:v>9.1642205958721927</c:v>
                </c:pt>
                <c:pt idx="134">
                  <c:v>9.1312183802378044</c:v>
                </c:pt>
                <c:pt idx="135">
                  <c:v>9.0945450236979024</c:v>
                </c:pt>
                <c:pt idx="136">
                  <c:v>9.0536050736339373</c:v>
                </c:pt>
                <c:pt idx="137">
                  <c:v>9.0077516044603172</c:v>
                </c:pt>
                <c:pt idx="138">
                  <c:v>8.9562821459453694</c:v>
                </c:pt>
                <c:pt idx="139">
                  <c:v>8.8984355401575712</c:v>
                </c:pt>
                <c:pt idx="140">
                  <c:v>8.8333900515046402</c:v>
                </c:pt>
                <c:pt idx="141">
                  <c:v>8.760263105347736</c:v>
                </c:pt>
                <c:pt idx="142">
                  <c:v>8.678113070514252</c:v>
                </c:pt>
                <c:pt idx="143">
                  <c:v>8.5859435204763503</c:v>
                </c:pt>
                <c:pt idx="144">
                  <c:v>8.482710395983279</c:v>
                </c:pt>
                <c:pt idx="145">
                  <c:v>8.3673324365792432</c:v>
                </c:pt>
                <c:pt idx="146">
                  <c:v>8.2387051384923602</c:v>
                </c:pt>
                <c:pt idx="147">
                  <c:v>8.0957183238618118</c:v>
                </c:pt>
                <c:pt idx="148">
                  <c:v>7.9372771695315389</c:v>
                </c:pt>
                <c:pt idx="149">
                  <c:v>7.7623262506870816</c:v>
                </c:pt>
                <c:pt idx="150">
                  <c:v>7.5698758257153473</c:v>
                </c:pt>
                <c:pt idx="151">
                  <c:v>7.3590292572043978</c:v>
                </c:pt>
                <c:pt idx="152">
                  <c:v>7.1290101743858445</c:v>
                </c:pt>
                <c:pt idx="153">
                  <c:v>6.8791877843785043</c:v>
                </c:pt>
                <c:pt idx="154">
                  <c:v>6.6090986795973681</c:v>
                </c:pt>
                <c:pt idx="155">
                  <c:v>6.3184635986979423</c:v>
                </c:pt>
                <c:pt idx="156">
                  <c:v>6.0071978864838647</c:v>
                </c:pt>
                <c:pt idx="157">
                  <c:v>5.6754148426781237</c:v>
                </c:pt>
                <c:pt idx="158">
                  <c:v>5.3234216999090496</c:v>
                </c:pt>
                <c:pt idx="159">
                  <c:v>4.9517085565675742</c:v>
                </c:pt>
                <c:pt idx="160">
                  <c:v>4.5609311322391584</c:v>
                </c:pt>
                <c:pt idx="161">
                  <c:v>4.1518886427643578</c:v>
                </c:pt>
                <c:pt idx="162">
                  <c:v>3.7254983610871948</c:v>
                </c:pt>
                <c:pt idx="163">
                  <c:v>3.2827685206247597</c:v>
                </c:pt>
                <c:pt idx="164">
                  <c:v>2.8247711410100091</c:v>
                </c:pt>
                <c:pt idx="165">
                  <c:v>2.35261614584594</c:v>
                </c:pt>
                <c:pt idx="166">
                  <c:v>1.8674278457538109</c:v>
                </c:pt>
                <c:pt idx="167">
                  <c:v>1.3703245271004452</c:v>
                </c:pt>
                <c:pt idx="168">
                  <c:v>0.86240156076524133</c:v>
                </c:pt>
                <c:pt idx="169">
                  <c:v>0.34471815812378925</c:v>
                </c:pt>
                <c:pt idx="170">
                  <c:v>-0.18171232809534493</c:v>
                </c:pt>
                <c:pt idx="171">
                  <c:v>-0.71592882548734704</c:v>
                </c:pt>
                <c:pt idx="172">
                  <c:v>-1.2570260567380933</c:v>
                </c:pt>
                <c:pt idx="173">
                  <c:v>-1.8041555677783832</c:v>
                </c:pt>
                <c:pt idx="174">
                  <c:v>-2.3565246973924223</c:v>
                </c:pt>
                <c:pt idx="175">
                  <c:v>-2.9133938941275037</c:v>
                </c:pt>
                <c:pt idx="176">
                  <c:v>-3.4740727450724647</c:v>
                </c:pt>
                <c:pt idx="177">
                  <c:v>-4.0379150298112823</c:v>
                </c:pt>
                <c:pt idx="178">
                  <c:v>-4.6043130585622762</c:v>
                </c:pt>
                <c:pt idx="179">
                  <c:v>-5.1726915011180044</c:v>
                </c:pt>
                <c:pt idx="180">
                  <c:v>-5.7425008659414836</c:v>
                </c:pt>
                <c:pt idx="181">
                  <c:v>-6.3132107485814029</c:v>
                </c:pt>
                <c:pt idx="182">
                  <c:v>-6.8843029364586936</c:v>
                </c:pt>
                <c:pt idx="183">
                  <c:v>-7.4552644334630882</c:v>
                </c:pt>
                <c:pt idx="184">
                  <c:v>-8.0255804528105514</c:v>
                </c:pt>
                <c:pt idx="185">
                  <c:v>-8.5947274202089705</c:v>
                </c:pt>
                <c:pt idx="186">
                  <c:v>-9.1621660315510951</c:v>
                </c:pt>
                <c:pt idx="187">
                  <c:v>-9.7273344201005987</c:v>
                </c:pt>
                <c:pt idx="188">
                  <c:v>-10.289641507494899</c:v>
                </c:pt>
                <c:pt idx="189">
                  <c:v>-10.848460640831739</c:v>
                </c:pt>
                <c:pt idx="190">
                  <c:v>-11.403123654394188</c:v>
                </c:pt>
                <c:pt idx="191">
                  <c:v>-11.952915538511226</c:v>
                </c:pt>
                <c:pt idx="192">
                  <c:v>-12.497069948216401</c:v>
                </c:pt>
                <c:pt idx="193">
                  <c:v>-13.034765838220457</c:v>
                </c:pt>
                <c:pt idx="194">
                  <c:v>-13.565125564188211</c:v>
                </c:pt>
                <c:pt idx="195">
                  <c:v>-14.087214837492274</c:v>
                </c:pt>
                <c:pt idx="196">
                  <c:v>-14.600044953467972</c:v>
                </c:pt>
                <c:pt idx="197">
                  <c:v>-15.102577721629892</c:v>
                </c:pt>
                <c:pt idx="198">
                  <c:v>-15.59373349872482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20256"/>
        <c:axId val="157421040"/>
      </c:scatterChart>
      <c:valAx>
        <c:axId val="157420256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421040"/>
        <c:crosses val="autoZero"/>
        <c:crossBetween val="midCat"/>
      </c:valAx>
      <c:valAx>
        <c:axId val="15742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420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Vloop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Compensation'!$AT$1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'9.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  <c:pt idx="199">
                  <c:v>933254.30079698924</c:v>
                </c:pt>
              </c:numCache>
            </c:numRef>
          </c:xVal>
          <c:yVal>
            <c:numRef>
              <c:f>'9. Loop Compensation'!$AT$2:$AT$201</c:f>
              <c:numCache>
                <c:formatCode>General</c:formatCode>
                <c:ptCount val="200"/>
                <c:pt idx="0">
                  <c:v>168.46062266516182</c:v>
                </c:pt>
                <c:pt idx="1">
                  <c:v>167.65513928655355</c:v>
                </c:pt>
                <c:pt idx="2">
                  <c:v>166.79644814651695</c:v>
                </c:pt>
                <c:pt idx="3">
                  <c:v>165.88169361331029</c:v>
                </c:pt>
                <c:pt idx="4">
                  <c:v>164.90801005000563</c:v>
                </c:pt>
                <c:pt idx="5">
                  <c:v>163.87255670226472</c:v>
                </c:pt>
                <c:pt idx="6">
                  <c:v>162.77256006394342</c:v>
                </c:pt>
                <c:pt idx="7">
                  <c:v>161.60536437123034</c:v>
                </c:pt>
                <c:pt idx="8">
                  <c:v>160.36849067347555</c:v>
                </c:pt>
                <c:pt idx="9">
                  <c:v>159.05970460981754</c:v>
                </c:pt>
                <c:pt idx="10">
                  <c:v>157.67709256184642</c:v>
                </c:pt>
                <c:pt idx="11">
                  <c:v>156.21914523624153</c:v>
                </c:pt>
                <c:pt idx="12">
                  <c:v>154.68484695171702</c:v>
                </c:pt>
                <c:pt idx="13">
                  <c:v>153.07376797553067</c:v>
                </c:pt>
                <c:pt idx="14">
                  <c:v>151.38615621815751</c:v>
                </c:pt>
                <c:pt idx="15">
                  <c:v>149.62302352847942</c:v>
                </c:pt>
                <c:pt idx="16">
                  <c:v>147.78622085406775</c:v>
                </c:pt>
                <c:pt idx="17">
                  <c:v>145.87849579769605</c:v>
                </c:pt>
                <c:pt idx="18">
                  <c:v>143.90352579295944</c:v>
                </c:pt>
                <c:pt idx="19">
                  <c:v>141.86592041942083</c:v>
                </c:pt>
                <c:pt idx="20">
                  <c:v>139.77118742472302</c:v>
                </c:pt>
                <c:pt idx="21">
                  <c:v>137.62565888060226</c:v>
                </c:pt>
                <c:pt idx="22">
                  <c:v>135.43637651376514</c:v>
                </c:pt>
                <c:pt idx="23">
                  <c:v>133.21093841857916</c:v>
                </c:pt>
                <c:pt idx="24">
                  <c:v>130.9573127351357</c:v>
                </c:pt>
                <c:pt idx="25">
                  <c:v>128.68362702607965</c:v>
                </c:pt>
                <c:pt idx="26">
                  <c:v>126.39794455123031</c:v>
                </c:pt>
                <c:pt idx="27">
                  <c:v>124.10804003627463</c:v>
                </c:pt>
                <c:pt idx="28">
                  <c:v>121.82118763589115</c:v>
                </c:pt>
                <c:pt idx="29">
                  <c:v>119.54397258979861</c:v>
                </c:pt>
                <c:pt idx="30">
                  <c:v>117.28213576509565</c:v>
                </c:pt>
                <c:pt idx="31">
                  <c:v>115.04045724016125</c:v>
                </c:pt>
                <c:pt idx="32">
                  <c:v>112.82268176902221</c:v>
                </c:pt>
                <c:pt idx="33">
                  <c:v>110.6314858155549</c:v>
                </c:pt>
                <c:pt idx="34">
                  <c:v>108.46848322035254</c:v>
                </c:pt>
                <c:pt idx="35">
                  <c:v>106.33426467961191</c:v>
                </c:pt>
                <c:pt idx="36">
                  <c:v>104.22846514847892</c:v>
                </c:pt>
                <c:pt idx="37">
                  <c:v>102.14985297851976</c:v>
                </c:pt>
                <c:pt idx="38">
                  <c:v>100.09643492049359</c:v>
                </c:pt>
                <c:pt idx="39">
                  <c:v>98.065571885688399</c:v>
                </c:pt>
                <c:pt idx="40">
                  <c:v>96.054101371463872</c:v>
                </c:pt>
                <c:pt idx="41">
                  <c:v>94.058463548818239</c:v>
                </c:pt>
                <c:pt idx="42">
                  <c:v>92.074829044530304</c:v>
                </c:pt>
                <c:pt idx="43">
                  <c:v>90.099227327255818</c:v>
                </c:pt>
                <c:pt idx="44">
                  <c:v>88.127675258581093</c:v>
                </c:pt>
                <c:pt idx="45">
                  <c:v>86.156305755892987</c:v>
                </c:pt>
                <c:pt idx="46">
                  <c:v>84.181496613507221</c:v>
                </c:pt>
                <c:pt idx="47">
                  <c:v>82.199999336919788</c:v>
                </c:pt>
                <c:pt idx="48">
                  <c:v>80.209067371733298</c:v>
                </c:pt>
                <c:pt idx="49">
                  <c:v>78.206582379970953</c:v>
                </c:pt>
                <c:pt idx="50">
                  <c:v>76.191176280244562</c:v>
                </c:pt>
                <c:pt idx="51">
                  <c:v>74.1623457016629</c:v>
                </c:pt>
                <c:pt idx="52">
                  <c:v>72.1205544163479</c:v>
                </c:pt>
                <c:pt idx="53">
                  <c:v>70.067318360310423</c:v>
                </c:pt>
                <c:pt idx="54">
                  <c:v>68.005267205968948</c:v>
                </c:pt>
                <c:pt idx="55">
                  <c:v>65.93817630317028</c:v>
                </c:pt>
                <c:pt idx="56">
                  <c:v>63.870963333397299</c:v>
                </c:pt>
                <c:pt idx="57">
                  <c:v>61.809645340604121</c:v>
                </c:pt>
                <c:pt idx="58">
                  <c:v>59.761253927807275</c:v>
                </c:pt>
                <c:pt idx="59">
                  <c:v>57.733709222010539</c:v>
                </c:pt>
                <c:pt idx="60">
                  <c:v>55.735656445009035</c:v>
                </c:pt>
                <c:pt idx="61">
                  <c:v>53.776272192549946</c:v>
                </c:pt>
                <c:pt idx="62">
                  <c:v>51.865050360940039</c:v>
                </c:pt>
                <c:pt idx="63">
                  <c:v>50.011579629690786</c:v>
                </c:pt>
                <c:pt idx="64">
                  <c:v>48.225325185512766</c:v>
                </c:pt>
                <c:pt idx="65">
                  <c:v>46.515426818791909</c:v>
                </c:pt>
                <c:pt idx="66">
                  <c:v>44.890523720578123</c:v>
                </c:pt>
                <c:pt idx="67">
                  <c:v>43.358613538421018</c:v>
                </c:pt>
                <c:pt idx="68">
                  <c:v>41.926949930096811</c:v>
                </c:pt>
                <c:pt idx="69">
                  <c:v>40.601979445907418</c:v>
                </c:pt>
                <c:pt idx="70">
                  <c:v>39.389315486762527</c:v>
                </c:pt>
                <c:pt idx="71">
                  <c:v>38.293744627594123</c:v>
                </c:pt>
                <c:pt idx="72">
                  <c:v>37.319258921132985</c:v>
                </c:pt>
                <c:pt idx="73">
                  <c:v>36.469106924340863</c:v>
                </c:pt>
                <c:pt idx="74">
                  <c:v>35.745856029726113</c:v>
                </c:pt>
                <c:pt idx="75">
                  <c:v>35.151459082661532</c:v>
                </c:pt>
                <c:pt idx="76">
                  <c:v>34.687319048213553</c:v>
                </c:pt>
                <c:pt idx="77">
                  <c:v>34.354346493689803</c:v>
                </c:pt>
                <c:pt idx="78">
                  <c:v>34.15300574673428</c:v>
                </c:pt>
                <c:pt idx="79">
                  <c:v>34.083346686999207</c:v>
                </c:pt>
                <c:pt idx="80">
                  <c:v>34.145020188648971</c:v>
                </c:pt>
                <c:pt idx="81">
                  <c:v>34.337276243336234</c:v>
                </c:pt>
                <c:pt idx="82">
                  <c:v>34.658944776206766</c:v>
                </c:pt>
                <c:pt idx="83">
                  <c:v>35.10840015106325</c:v>
                </c:pt>
                <c:pt idx="84">
                  <c:v>35.683511374974529</c:v>
                </c:pt>
                <c:pt idx="85">
                  <c:v>36.381581074020872</c:v>
                </c:pt>
                <c:pt idx="86">
                  <c:v>37.199277411625062</c:v>
                </c:pt>
                <c:pt idx="87">
                  <c:v>38.132564214061574</c:v>
                </c:pt>
                <c:pt idx="88">
                  <c:v>39.176635566421851</c:v>
                </c:pt>
                <c:pt idx="89">
                  <c:v>40.325861915799535</c:v>
                </c:pt>
                <c:pt idx="90">
                  <c:v>41.573755102769411</c:v>
                </c:pt>
                <c:pt idx="91">
                  <c:v>42.912959562113699</c:v>
                </c:pt>
                <c:pt idx="92">
                  <c:v>44.335276037155666</c:v>
                </c:pt>
                <c:pt idx="93">
                  <c:v>45.831722453105797</c:v>
                </c:pt>
                <c:pt idx="94">
                  <c:v>47.39263411684027</c:v>
                </c:pt>
                <c:pt idx="95">
                  <c:v>49.007802316216868</c:v>
                </c:pt>
                <c:pt idx="96">
                  <c:v>50.666646987303395</c:v>
                </c:pt>
                <c:pt idx="97">
                  <c:v>52.358415819945506</c:v>
                </c:pt>
                <c:pt idx="98">
                  <c:v>54.072399441855396</c:v>
                </c:pt>
                <c:pt idx="99">
                  <c:v>55.798150572933125</c:v>
                </c:pt>
                <c:pt idx="100">
                  <c:v>57.525694551340933</c:v>
                </c:pt>
                <c:pt idx="101">
                  <c:v>59.24571947556052</c:v>
                </c:pt>
                <c:pt idx="102">
                  <c:v>60.949736237044206</c:v>
                </c:pt>
                <c:pt idx="103">
                  <c:v>62.630201605327116</c:v>
                </c:pt>
                <c:pt idx="104">
                  <c:v>64.280600830663289</c:v>
                </c:pt>
                <c:pt idx="105">
                  <c:v>65.895489491187135</c:v>
                </c:pt>
                <c:pt idx="106">
                  <c:v>67.470497143989405</c:v>
                </c:pt>
                <c:pt idx="107">
                  <c:v>69.002297480420268</c:v>
                </c:pt>
                <c:pt idx="108">
                  <c:v>70.488551019898253</c:v>
                </c:pt>
                <c:pt idx="109">
                  <c:v>71.927826921332723</c:v>
                </c:pt>
                <c:pt idx="110">
                  <c:v>73.319510362720507</c:v>
                </c:pt>
                <c:pt idx="111">
                  <c:v>74.663701307600263</c:v>
                </c:pt>
                <c:pt idx="112">
                  <c:v>75.961109525752462</c:v>
                </c:pt>
                <c:pt idx="113">
                  <c:v>77.212949632589925</c:v>
                </c:pt>
                <c:pt idx="114">
                  <c:v>78.420838791370116</c:v>
                </c:pt>
                <c:pt idx="115">
                  <c:v>79.58669867935113</c:v>
                </c:pt>
                <c:pt idx="116">
                  <c:v>80.712662410775891</c:v>
                </c:pt>
                <c:pt idx="117">
                  <c:v>81.800986363346823</c:v>
                </c:pt>
                <c:pt idx="118">
                  <c:v>82.853966276696354</c:v>
                </c:pt>
                <c:pt idx="119">
                  <c:v>83.87385657478525</c:v>
                </c:pt>
                <c:pt idx="120">
                  <c:v>84.862791597686325</c:v>
                </c:pt>
                <c:pt idx="121">
                  <c:v>85.822707300852557</c:v>
                </c:pt>
                <c:pt idx="122">
                  <c:v>86.755261985053281</c:v>
                </c:pt>
                <c:pt idx="123">
                  <c:v>87.661754757280391</c:v>
                </c:pt>
                <c:pt idx="124">
                  <c:v>88.54304069819122</c:v>
                </c:pt>
                <c:pt idx="125">
                  <c:v>89.399442136473439</c:v>
                </c:pt>
                <c:pt idx="126">
                  <c:v>90.230656018385346</c:v>
                </c:pt>
                <c:pt idx="127">
                  <c:v>91.035658122464312</c:v>
                </c:pt>
                <c:pt idx="128">
                  <c:v>91.812605806129227</c:v>
                </c:pt>
                <c:pt idx="129">
                  <c:v>92.558742065740205</c:v>
                </c:pt>
                <c:pt idx="130">
                  <c:v>93.270304900278589</c:v>
                </c:pt>
                <c:pt idx="131">
                  <c:v>93.942447210978131</c:v>
                </c:pt>
                <c:pt idx="132">
                  <c:v>94.569173623881341</c:v>
                </c:pt>
                <c:pt idx="133">
                  <c:v>95.143301529085008</c:v>
                </c:pt>
                <c:pt idx="134">
                  <c:v>95.656454101762193</c:v>
                </c:pt>
                <c:pt idx="135">
                  <c:v>96.099092915185338</c:v>
                </c:pt>
                <c:pt idx="136">
                  <c:v>96.460596817186399</c:v>
                </c:pt>
                <c:pt idx="137">
                  <c:v>96.729391936805953</c:v>
                </c:pt>
                <c:pt idx="138">
                  <c:v>96.893135051078474</c:v>
                </c:pt>
                <c:pt idx="139">
                  <c:v>96.938949246268507</c:v>
                </c:pt>
                <c:pt idx="140">
                  <c:v>96.853707161550005</c:v>
                </c:pt>
                <c:pt idx="141">
                  <c:v>96.624353508717803</c:v>
                </c:pt>
                <c:pt idx="142">
                  <c:v>96.238255444528164</c:v>
                </c:pt>
                <c:pt idx="143">
                  <c:v>95.683567093875439</c:v>
                </c:pt>
                <c:pt idx="144">
                  <c:v>94.949593301737934</c:v>
                </c:pt>
                <c:pt idx="145">
                  <c:v>94.027137564432678</c:v>
                </c:pt>
                <c:pt idx="146">
                  <c:v>92.908819913258114</c:v>
                </c:pt>
                <c:pt idx="147">
                  <c:v>91.589352030853902</c:v>
                </c:pt>
                <c:pt idx="148">
                  <c:v>90.065758770821049</c:v>
                </c:pt>
                <c:pt idx="149">
                  <c:v>88.337537273696825</c:v>
                </c:pt>
                <c:pt idx="150">
                  <c:v>86.406746888679777</c:v>
                </c:pt>
                <c:pt idx="151">
                  <c:v>84.278025111215413</c:v>
                </c:pt>
                <c:pt idx="152">
                  <c:v>81.958526822364064</c:v>
                </c:pt>
                <c:pt idx="153">
                  <c:v>79.457786395701461</c:v>
                </c:pt>
                <c:pt idx="154">
                  <c:v>76.787504816599295</c:v>
                </c:pt>
                <c:pt idx="155">
                  <c:v>73.961266840462386</c:v>
                </c:pt>
                <c:pt idx="156">
                  <c:v>70.994196285040687</c:v>
                </c:pt>
                <c:pt idx="157">
                  <c:v>67.902560581259479</c:v>
                </c:pt>
                <c:pt idx="158">
                  <c:v>64.703338399649326</c:v>
                </c:pt>
                <c:pt idx="159">
                  <c:v>61.413766210993856</c:v>
                </c:pt>
                <c:pt idx="160">
                  <c:v>58.050880754003614</c:v>
                </c:pt>
                <c:pt idx="161">
                  <c:v>54.631074376351876</c:v>
                </c:pt>
                <c:pt idx="162">
                  <c:v>51.169679008069693</c:v>
                </c:pt>
                <c:pt idx="163">
                  <c:v>47.680592166564068</c:v>
                </c:pt>
                <c:pt idx="164">
                  <c:v>44.175955058460374</c:v>
                </c:pt>
                <c:pt idx="165">
                  <c:v>40.665888828442206</c:v>
                </c:pt>
                <c:pt idx="166">
                  <c:v>37.158290686706522</c:v>
                </c:pt>
                <c:pt idx="167">
                  <c:v>33.658687440206435</c:v>
                </c:pt>
                <c:pt idx="168">
                  <c:v>30.170140259772623</c:v>
                </c:pt>
                <c:pt idx="169">
                  <c:v>26.693191675509468</c:v>
                </c:pt>
                <c:pt idx="170">
                  <c:v>23.225844058748933</c:v>
                </c:pt>
                <c:pt idx="171">
                  <c:v>19.763558387052086</c:v>
                </c:pt>
                <c:pt idx="172">
                  <c:v>16.299263016414784</c:v>
                </c:pt>
                <c:pt idx="173">
                  <c:v>12.823364633180034</c:v>
                </c:pt>
                <c:pt idx="174">
                  <c:v>9.3237577573129897</c:v>
                </c:pt>
                <c:pt idx="175">
                  <c:v>5.7858355404741246</c:v>
                </c:pt>
                <c:pt idx="176">
                  <c:v>2.1925138447373058</c:v>
                </c:pt>
                <c:pt idx="177">
                  <c:v>-1.4757062813851718</c:v>
                </c:pt>
                <c:pt idx="178">
                  <c:v>-5.2405943223056539</c:v>
                </c:pt>
                <c:pt idx="179">
                  <c:v>-9.125896142322091</c:v>
                </c:pt>
                <c:pt idx="180">
                  <c:v>-13.156790535465078</c:v>
                </c:pt>
                <c:pt idx="181">
                  <c:v>-17.358961286999332</c:v>
                </c:pt>
                <c:pt idx="182">
                  <c:v>-21.75711737652189</c:v>
                </c:pt>
                <c:pt idx="183">
                  <c:v>-26.372783608901301</c:v>
                </c:pt>
                <c:pt idx="184">
                  <c:v>-31.221228459912524</c:v>
                </c:pt>
                <c:pt idx="185">
                  <c:v>-36.307542410051212</c:v>
                </c:pt>
                <c:pt idx="186">
                  <c:v>-41.622173510195111</c:v>
                </c:pt>
                <c:pt idx="187">
                  <c:v>-47.136666027391271</c:v>
                </c:pt>
                <c:pt idx="188">
                  <c:v>-52.800816579998155</c:v>
                </c:pt>
                <c:pt idx="189">
                  <c:v>-58.542687075748603</c:v>
                </c:pt>
                <c:pt idx="190">
                  <c:v>-64.272551637966345</c:v>
                </c:pt>
                <c:pt idx="191">
                  <c:v>290.10923559172875</c:v>
                </c:pt>
                <c:pt idx="192">
                  <c:v>284.70192928188015</c:v>
                </c:pt>
                <c:pt idx="193">
                  <c:v>279.59416376929892</c:v>
                </c:pt>
                <c:pt idx="194">
                  <c:v>274.85628985165351</c:v>
                </c:pt>
                <c:pt idx="195">
                  <c:v>270.53665867267267</c:v>
                </c:pt>
                <c:pt idx="196">
                  <c:v>266.66177336863245</c:v>
                </c:pt>
                <c:pt idx="197">
                  <c:v>263.23918481114197</c:v>
                </c:pt>
                <c:pt idx="198">
                  <c:v>260.26169554599829</c:v>
                </c:pt>
                <c:pt idx="199">
                  <c:v>257.71168983256689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395680"/>
        <c:axId val="299396072"/>
      </c:scatterChart>
      <c:valAx>
        <c:axId val="299395680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9396072"/>
        <c:crosses val="autoZero"/>
        <c:crossBetween val="midCat"/>
      </c:valAx>
      <c:valAx>
        <c:axId val="299396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93956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|Vloop</a:t>
            </a:r>
            <a:r>
              <a:rPr lang="en-US" baseline="0"/>
              <a:t>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Compensation'!$AS$1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'9.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</c:numCache>
            </c:numRef>
          </c:xVal>
          <c:yVal>
            <c:numRef>
              <c:f>'9. Loop Compensation'!$AS$2:$AS$200</c:f>
              <c:numCache>
                <c:formatCode>General</c:formatCode>
                <c:ptCount val="199"/>
                <c:pt idx="0">
                  <c:v>77.407124243090195</c:v>
                </c:pt>
                <c:pt idx="1">
                  <c:v>77.384670542400571</c:v>
                </c:pt>
                <c:pt idx="2">
                  <c:v>77.359030749694909</c:v>
                </c:pt>
                <c:pt idx="3">
                  <c:v>77.32977537850897</c:v>
                </c:pt>
                <c:pt idx="4">
                  <c:v>77.296423798874088</c:v>
                </c:pt>
                <c:pt idx="5">
                  <c:v>77.258440135771181</c:v>
                </c:pt>
                <c:pt idx="6">
                  <c:v>77.215229438982846</c:v>
                </c:pt>
                <c:pt idx="7">
                  <c:v>77.16613434661005</c:v>
                </c:pt>
                <c:pt idx="8">
                  <c:v>77.110432517036486</c:v>
                </c:pt>
                <c:pt idx="9">
                  <c:v>77.047335157914873</c:v>
                </c:pt>
                <c:pt idx="10">
                  <c:v>76.975987031070758</c:v>
                </c:pt>
                <c:pt idx="11">
                  <c:v>76.895468352288589</c:v>
                </c:pt>
                <c:pt idx="12">
                  <c:v>76.804799025796399</c:v>
                </c:pt>
                <c:pt idx="13">
                  <c:v>76.702945644054395</c:v>
                </c:pt>
                <c:pt idx="14">
                  <c:v>76.588831632251797</c:v>
                </c:pt>
                <c:pt idx="15">
                  <c:v>76.461350812323516</c:v>
                </c:pt>
                <c:pt idx="16">
                  <c:v>76.319384494788835</c:v>
                </c:pt>
                <c:pt idx="17">
                  <c:v>76.161821975745553</c:v>
                </c:pt>
                <c:pt idx="18">
                  <c:v>75.987584027652531</c:v>
                </c:pt>
                <c:pt idx="19">
                  <c:v>75.795648644863832</c:v>
                </c:pt>
                <c:pt idx="20">
                  <c:v>75.585077970153662</c:v>
                </c:pt>
                <c:pt idx="21">
                  <c:v>75.355045030041083</c:v>
                </c:pt>
                <c:pt idx="22">
                  <c:v>75.104858694198498</c:v>
                </c:pt>
                <c:pt idx="23">
                  <c:v>74.833985194811987</c:v>
                </c:pt>
                <c:pt idx="24">
                  <c:v>74.542064629699183</c:v>
                </c:pt>
                <c:pt idx="25">
                  <c:v>74.22892113949095</c:v>
                </c:pt>
                <c:pt idx="26">
                  <c:v>73.894565876146629</c:v>
                </c:pt>
                <c:pt idx="27">
                  <c:v>73.539192420124948</c:v>
                </c:pt>
                <c:pt idx="28">
                  <c:v>73.163164887392526</c:v>
                </c:pt>
                <c:pt idx="29">
                  <c:v>72.766999517098782</c:v>
                </c:pt>
                <c:pt idx="30">
                  <c:v>72.351340975147494</c:v>
                </c:pt>
                <c:pt idx="31">
                  <c:v>71.916934897655665</c:v>
                </c:pt>
                <c:pt idx="32">
                  <c:v>71.464598309885872</c:v>
                </c:pt>
                <c:pt idx="33">
                  <c:v>70.995189498887044</c:v>
                </c:pt>
                <c:pt idx="34">
                  <c:v>70.509578724135565</c:v>
                </c:pt>
                <c:pt idx="35">
                  <c:v>70.008620866639006</c:v>
                </c:pt>
                <c:pt idx="36">
                  <c:v>69.49313079365858</c:v>
                </c:pt>
                <c:pt idx="37">
                  <c:v>68.963861898528705</c:v>
                </c:pt>
                <c:pt idx="38">
                  <c:v>68.42148799718683</c:v>
                </c:pt>
                <c:pt idx="39">
                  <c:v>67.86658854607866</c:v>
                </c:pt>
                <c:pt idx="40">
                  <c:v>67.299636998873439</c:v>
                </c:pt>
                <c:pt idx="41">
                  <c:v>66.720992040927797</c:v>
                </c:pt>
                <c:pt idx="42">
                  <c:v>66.130891423031471</c:v>
                </c:pt>
                <c:pt idx="43">
                  <c:v>65.529448148265828</c:v>
                </c:pt>
                <c:pt idx="44">
                  <c:v>64.916648834862144</c:v>
                </c:pt>
                <c:pt idx="45">
                  <c:v>64.292354170583948</c:v>
                </c:pt>
                <c:pt idx="46">
                  <c:v>63.6563014774772</c:v>
                </c:pt>
                <c:pt idx="47">
                  <c:v>63.008109507208921</c:v>
                </c:pt>
                <c:pt idx="48">
                  <c:v>62.347285673933285</c:v>
                </c:pt>
                <c:pt idx="49">
                  <c:v>61.673235990718098</c:v>
                </c:pt>
                <c:pt idx="50">
                  <c:v>60.985277993807834</c:v>
                </c:pt>
                <c:pt idx="51">
                  <c:v>60.282656903774267</c:v>
                </c:pt>
                <c:pt idx="52">
                  <c:v>59.564565173438794</c:v>
                </c:pt>
                <c:pt idx="53">
                  <c:v>58.830165403447381</c:v>
                </c:pt>
                <c:pt idx="54">
                  <c:v>58.078616369340629</c:v>
                </c:pt>
                <c:pt idx="55">
                  <c:v>57.30910161135273</c:v>
                </c:pt>
                <c:pt idx="56">
                  <c:v>56.520859715267534</c:v>
                </c:pt>
                <c:pt idx="57">
                  <c:v>55.713215097480415</c:v>
                </c:pt>
                <c:pt idx="58">
                  <c:v>54.885607847522508</c:v>
                </c:pt>
                <c:pt idx="59">
                  <c:v>54.037621027015</c:v>
                </c:pt>
                <c:pt idx="60">
                  <c:v>53.169003818664038</c:v>
                </c:pt>
                <c:pt idx="61">
                  <c:v>52.279689088097825</c:v>
                </c:pt>
                <c:pt idx="62">
                  <c:v>51.369804264199843</c:v>
                </c:pt>
                <c:pt idx="63">
                  <c:v>50.439674928945415</c:v>
                </c:pt>
                <c:pt idx="64">
                  <c:v>49.489821077398098</c:v>
                </c:pt>
                <c:pt idx="65">
                  <c:v>48.520946587447511</c:v>
                </c:pt>
                <c:pt idx="66">
                  <c:v>47.533922949989602</c:v>
                </c:pt>
                <c:pt idx="67">
                  <c:v>46.529768689796697</c:v>
                </c:pt>
                <c:pt idx="68">
                  <c:v>45.509626116448189</c:v>
                </c:pt>
                <c:pt idx="69">
                  <c:v>44.474737074547534</c:v>
                </c:pt>
                <c:pt idx="70">
                  <c:v>43.426419232033268</c:v>
                </c:pt>
                <c:pt idx="71">
                  <c:v>42.366044193689021</c:v>
                </c:pt>
                <c:pt idx="72">
                  <c:v>41.295018402439268</c:v>
                </c:pt>
                <c:pt idx="73">
                  <c:v>40.214767441402387</c:v>
                </c:pt>
                <c:pt idx="74">
                  <c:v>39.126724014334819</c:v>
                </c:pt>
                <c:pt idx="75">
                  <c:v>38.032319588045191</c:v>
                </c:pt>
                <c:pt idx="76">
                  <c:v>36.932979441597261</c:v>
                </c:pt>
                <c:pt idx="77">
                  <c:v>35.83012068656916</c:v>
                </c:pt>
                <c:pt idx="78">
                  <c:v>34.72515269527095</c:v>
                </c:pt>
                <c:pt idx="79">
                  <c:v>33.619479290329224</c:v>
                </c:pt>
                <c:pt idx="80">
                  <c:v>32.514501998887873</c:v>
                </c:pt>
                <c:pt idx="81">
                  <c:v>31.411623648713299</c:v>
                </c:pt>
                <c:pt idx="82">
                  <c:v>30.312251575596534</c:v>
                </c:pt>
                <c:pt idx="83">
                  <c:v>29.217799719545585</c:v>
                </c:pt>
                <c:pt idx="84">
                  <c:v>28.129688913574086</c:v>
                </c:pt>
                <c:pt idx="85">
                  <c:v>27.049344719664902</c:v>
                </c:pt>
                <c:pt idx="86">
                  <c:v>25.97819225095899</c:v>
                </c:pt>
                <c:pt idx="87">
                  <c:v>24.917647547889004</c:v>
                </c:pt>
                <c:pt idx="88">
                  <c:v>23.869105258094443</c:v>
                </c:pt>
                <c:pt idx="89">
                  <c:v>22.833922610305272</c:v>
                </c:pt>
                <c:pt idx="90">
                  <c:v>21.813399967702239</c:v>
                </c:pt>
                <c:pt idx="91">
                  <c:v>20.808758582112556</c:v>
                </c:pt>
                <c:pt idx="92">
                  <c:v>19.821116519302564</c:v>
                </c:pt>
                <c:pt idx="93">
                  <c:v>18.851464047828141</c:v>
                </c:pt>
                <c:pt idx="94">
                  <c:v>17.900640031515707</c:v>
                </c:pt>
                <c:pt idx="95">
                  <c:v>16.969310990359851</c:v>
                </c:pt>
                <c:pt idx="96">
                  <c:v>16.057954458003646</c:v>
                </c:pt>
                <c:pt idx="97">
                  <c:v>15.16684804792475</c:v>
                </c:pt>
                <c:pt idx="98">
                  <c:v>14.296065254928537</c:v>
                </c:pt>
                <c:pt idx="99">
                  <c:v>13.445478503455714</c:v>
                </c:pt>
                <c:pt idx="100">
                  <c:v>12.614769374108461</c:v>
                </c:pt>
                <c:pt idx="101">
                  <c:v>11.803445372033377</c:v>
                </c:pt>
                <c:pt idx="102">
                  <c:v>11.010862120183445</c:v>
                </c:pt>
                <c:pt idx="103">
                  <c:v>10.236249524555539</c:v>
                </c:pt>
                <c:pt idx="104">
                  <c:v>9.4787402975749675</c:v>
                </c:pt>
                <c:pt idx="105">
                  <c:v>8.7373992399918929</c:v>
                </c:pt>
                <c:pt idx="106">
                  <c:v>8.0112518448657308</c:v>
                </c:pt>
                <c:pt idx="107">
                  <c:v>7.2993110560804926</c:v>
                </c:pt>
                <c:pt idx="108">
                  <c:v>6.6006013384280662</c:v>
                </c:pt>
                <c:pt idx="109">
                  <c:v>5.9141795498183942</c:v>
                </c:pt>
                <c:pt idx="110">
                  <c:v>5.2391524115568293</c:v>
                </c:pt>
                <c:pt idx="111">
                  <c:v>4.5746906256340054</c:v>
                </c:pt>
                <c:pt idx="112">
                  <c:v>3.9200398770099785</c:v>
                </c:pt>
                <c:pt idx="113">
                  <c:v>3.2745290828107008</c:v>
                </c:pt>
                <c:pt idx="114">
                  <c:v>2.6375763152570082</c:v>
                </c:pt>
                <c:pt idx="115">
                  <c:v>2.0086928410554314</c:v>
                </c:pt>
                <c:pt idx="116">
                  <c:v>1.3874856982193009</c:v>
                </c:pt>
                <c:pt idx="117">
                  <c:v>0.77365918256203514</c:v>
                </c:pt>
                <c:pt idx="118">
                  <c:v>0.16701554942419605</c:v>
                </c:pt>
                <c:pt idx="119">
                  <c:v>-0.43254484152065586</c:v>
                </c:pt>
                <c:pt idx="120">
                  <c:v>-1.025023794447252</c:v>
                </c:pt>
                <c:pt idx="121">
                  <c:v>-1.6103259014959779</c:v>
                </c:pt>
                <c:pt idx="122">
                  <c:v>-2.188259553539833</c:v>
                </c:pt>
                <c:pt idx="123">
                  <c:v>-2.7585384553164349</c:v>
                </c:pt>
                <c:pt idx="124">
                  <c:v>-3.3207838469883999</c:v>
                </c:pt>
                <c:pt idx="125">
                  <c:v>-3.8745277131252305</c:v>
                </c:pt>
                <c:pt idx="126">
                  <c:v>-4.419217329320416</c:v>
                </c:pt>
                <c:pt idx="127">
                  <c:v>-4.9542215499186018</c:v>
                </c:pt>
                <c:pt idx="128">
                  <c:v>-5.4788392691786107</c:v>
                </c:pt>
                <c:pt idx="129">
                  <c:v>-5.9923104822082962</c:v>
                </c:pt>
                <c:pt idx="130">
                  <c:v>-6.4938303195464488</c:v>
                </c:pt>
                <c:pt idx="131">
                  <c:v>-6.9825663190893135</c:v>
                </c:pt>
                <c:pt idx="132">
                  <c:v>-7.4576790226844292</c:v>
                </c:pt>
                <c:pt idx="133">
                  <c:v>-7.9183457395759174</c:v>
                </c:pt>
                <c:pt idx="134">
                  <c:v>-8.3637870116860284</c:v>
                </c:pt>
                <c:pt idx="135">
                  <c:v>-8.7932949653173065</c:v>
                </c:pt>
                <c:pt idx="136">
                  <c:v>-9.2062623725340327</c:v>
                </c:pt>
                <c:pt idx="137">
                  <c:v>-9.6022109174205461</c:v>
                </c:pt>
                <c:pt idx="138">
                  <c:v>-9.9808169187966875</c:v>
                </c:pt>
                <c:pt idx="139">
                  <c:v>-10.341932651601041</c:v>
                </c:pt>
                <c:pt idx="140">
                  <c:v>-10.685601472180547</c:v>
                </c:pt>
                <c:pt idx="141">
                  <c:v>-11.012065204864165</c:v>
                </c:pt>
                <c:pt idx="142">
                  <c:v>-11.321762677484939</c:v>
                </c:pt>
                <c:pt idx="143">
                  <c:v>-11.615318863226287</c:v>
                </c:pt>
                <c:pt idx="144">
                  <c:v>-11.893524735458033</c:v>
                </c:pt>
                <c:pt idx="145">
                  <c:v>-12.157308602076501</c:v>
                </c:pt>
                <c:pt idx="146">
                  <c:v>-12.407700291695392</c:v>
                </c:pt>
                <c:pt idx="147">
                  <c:v>-12.645790066604432</c:v>
                </c:pt>
                <c:pt idx="148">
                  <c:v>-12.872684507782319</c:v>
                </c:pt>
                <c:pt idx="149">
                  <c:v>-13.089461844580484</c:v>
                </c:pt>
                <c:pt idx="150">
                  <c:v>-13.297129285814723</c:v>
                </c:pt>
                <c:pt idx="151">
                  <c:v>-13.496584851298564</c:v>
                </c:pt>
                <c:pt idx="152">
                  <c:v>-13.688586000001269</c:v>
                </c:pt>
                <c:pt idx="153">
                  <c:v>-13.873726994684894</c:v>
                </c:pt>
                <c:pt idx="154">
                  <c:v>-14.052426426348687</c:v>
                </c:pt>
                <c:pt idx="155">
                  <c:v>-14.224925651427835</c:v>
                </c:pt>
                <c:pt idx="156">
                  <c:v>-14.391298101708671</c:v>
                </c:pt>
                <c:pt idx="157">
                  <c:v>-14.551468574385016</c:v>
                </c:pt>
                <c:pt idx="158">
                  <c:v>-14.70524078988433</c:v>
                </c:pt>
                <c:pt idx="159">
                  <c:v>-14.852330826244849</c:v>
                </c:pt>
                <c:pt idx="160">
                  <c:v>-14.992403603312468</c:v>
                </c:pt>
                <c:pt idx="161">
                  <c:v>-15.125109470318648</c:v>
                </c:pt>
                <c:pt idx="162">
                  <c:v>-15.250118170172243</c:v>
                </c:pt>
                <c:pt idx="163">
                  <c:v>-15.367147980530365</c:v>
                </c:pt>
                <c:pt idx="164">
                  <c:v>-15.475988583509791</c:v>
                </c:pt>
                <c:pt idx="165">
                  <c:v>-15.57651708059533</c:v>
                </c:pt>
                <c:pt idx="166">
                  <c:v>-15.668707429876436</c:v>
                </c:pt>
                <c:pt idx="167">
                  <c:v>-15.75263434184839</c:v>
                </c:pt>
                <c:pt idx="168">
                  <c:v>-15.828473267155298</c:v>
                </c:pt>
                <c:pt idx="169">
                  <c:v>-15.896498527754108</c:v>
                </c:pt>
                <c:pt idx="170">
                  <c:v>-15.957081904850391</c:v>
                </c:pt>
                <c:pt idx="171">
                  <c:v>-16.010694154009229</c:v>
                </c:pt>
                <c:pt idx="172">
                  <c:v>-16.057912035658759</c:v>
                </c:pt>
                <c:pt idx="173">
                  <c:v>-16.099433592099331</c:v>
                </c:pt>
                <c:pt idx="174">
                  <c:v>-16.136104618537289</c:v>
                </c:pt>
                <c:pt idx="175">
                  <c:v>-16.168959582074201</c:v>
                </c:pt>
                <c:pt idx="176">
                  <c:v>-16.199280602049296</c:v>
                </c:pt>
                <c:pt idx="177">
                  <c:v>-16.228678393373649</c:v>
                </c:pt>
                <c:pt idx="178">
                  <c:v>-16.259199025391005</c:v>
                </c:pt>
                <c:pt idx="179">
                  <c:v>-16.293459473095339</c:v>
                </c:pt>
                <c:pt idx="180">
                  <c:v>-16.334812419929513</c:v>
                </c:pt>
                <c:pt idx="181">
                  <c:v>-16.387535384756703</c:v>
                </c:pt>
                <c:pt idx="182">
                  <c:v>-16.457029396817987</c:v>
                </c:pt>
                <c:pt idx="183">
                  <c:v>-16.549996598684295</c:v>
                </c:pt>
                <c:pt idx="184">
                  <c:v>-16.674544060962138</c:v>
                </c:pt>
                <c:pt idx="185">
                  <c:v>-16.840136161325013</c:v>
                </c:pt>
                <c:pt idx="186">
                  <c:v>-17.057300495480177</c:v>
                </c:pt>
                <c:pt idx="187">
                  <c:v>-17.337001638351822</c:v>
                </c:pt>
                <c:pt idx="188">
                  <c:v>-17.689656188333696</c:v>
                </c:pt>
                <c:pt idx="189">
                  <c:v>-18.123880896638809</c:v>
                </c:pt>
                <c:pt idx="190">
                  <c:v>-18.645213801961816</c:v>
                </c:pt>
                <c:pt idx="191">
                  <c:v>-19.255148728437288</c:v>
                </c:pt>
                <c:pt idx="192">
                  <c:v>-19.950789592263344</c:v>
                </c:pt>
                <c:pt idx="193">
                  <c:v>-20.725243172647005</c:v>
                </c:pt>
                <c:pt idx="194">
                  <c:v>-21.568615823770372</c:v>
                </c:pt>
                <c:pt idx="195">
                  <c:v>-22.469300693289107</c:v>
                </c:pt>
                <c:pt idx="196">
                  <c:v>-23.415219099630544</c:v>
                </c:pt>
                <c:pt idx="197">
                  <c:v>-24.394786440311911</c:v>
                </c:pt>
                <c:pt idx="198">
                  <c:v>-25.397521008361281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396856"/>
        <c:axId val="299397248"/>
      </c:scatterChart>
      <c:valAx>
        <c:axId val="299396856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9397248"/>
        <c:crosses val="autoZero"/>
        <c:crossBetween val="midCat"/>
      </c:valAx>
      <c:valAx>
        <c:axId val="299397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93968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F$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38100</xdr:rowOff>
    </xdr:from>
    <xdr:to>
      <xdr:col>0</xdr:col>
      <xdr:colOff>7400925</xdr:colOff>
      <xdr:row>3</xdr:row>
      <xdr:rowOff>2781300</xdr:rowOff>
    </xdr:to>
    <xdr:pic>
      <xdr:nvPicPr>
        <xdr:cNvPr id="2" name="Picture 1" descr="ONHoriz-2DGreen-Lg.tif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09600"/>
          <a:ext cx="7315200" cy="274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95250</xdr:rowOff>
        </xdr:from>
        <xdr:to>
          <xdr:col>7</xdr:col>
          <xdr:colOff>47625</xdr:colOff>
          <xdr:row>2</xdr:row>
          <xdr:rowOff>123825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Upper Feedback Resistor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9525</xdr:rowOff>
        </xdr:from>
        <xdr:to>
          <xdr:col>7</xdr:col>
          <xdr:colOff>47625</xdr:colOff>
          <xdr:row>4</xdr:row>
          <xdr:rowOff>38100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Lower Feedback Resistor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145676</xdr:rowOff>
    </xdr:from>
    <xdr:to>
      <xdr:col>4</xdr:col>
      <xdr:colOff>717178</xdr:colOff>
      <xdr:row>40</xdr:row>
      <xdr:rowOff>33617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</xdr:colOff>
      <xdr:row>10</xdr:row>
      <xdr:rowOff>156882</xdr:rowOff>
    </xdr:from>
    <xdr:to>
      <xdr:col>4</xdr:col>
      <xdr:colOff>750794</xdr:colOff>
      <xdr:row>25</xdr:row>
      <xdr:rowOff>44823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829238</xdr:colOff>
      <xdr:row>25</xdr:row>
      <xdr:rowOff>145676</xdr:rowOff>
    </xdr:from>
    <xdr:to>
      <xdr:col>9</xdr:col>
      <xdr:colOff>11211</xdr:colOff>
      <xdr:row>40</xdr:row>
      <xdr:rowOff>33617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862855</xdr:colOff>
      <xdr:row>10</xdr:row>
      <xdr:rowOff>156882</xdr:rowOff>
    </xdr:from>
    <xdr:to>
      <xdr:col>9</xdr:col>
      <xdr:colOff>44827</xdr:colOff>
      <xdr:row>25</xdr:row>
      <xdr:rowOff>44823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145679</xdr:colOff>
      <xdr:row>25</xdr:row>
      <xdr:rowOff>145677</xdr:rowOff>
    </xdr:from>
    <xdr:to>
      <xdr:col>15</xdr:col>
      <xdr:colOff>481853</xdr:colOff>
      <xdr:row>40</xdr:row>
      <xdr:rowOff>33618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179296</xdr:colOff>
      <xdr:row>10</xdr:row>
      <xdr:rowOff>156883</xdr:rowOff>
    </xdr:from>
    <xdr:to>
      <xdr:col>15</xdr:col>
      <xdr:colOff>481853</xdr:colOff>
      <xdr:row>25</xdr:row>
      <xdr:rowOff>44824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fy7pn/Documents/Datasheets/ON/automotive/PWM/NCV8876/iMIT/NCV8876%20BOOST%20DT.re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troduction"/>
      <sheetName val="2. Design Parameters"/>
      <sheetName val="3. Feedback Resistors"/>
      <sheetName val="3. Boost Inductor"/>
      <sheetName val="4. Current Sense Resistor"/>
      <sheetName val="5. Output Capacitors"/>
      <sheetName val="Input Capacitor"/>
      <sheetName val="6. Diode"/>
      <sheetName val="7. MOSFET"/>
      <sheetName val="8. Loop Compensation"/>
      <sheetName val="Design Information"/>
      <sheetName val="Calculations"/>
      <sheetName val="Sheet1"/>
    </sheetNames>
    <sheetDataSet>
      <sheetData sheetId="0"/>
      <sheetData sheetId="1">
        <row r="2">
          <cell r="H2" t="str">
            <v>NCV887600</v>
          </cell>
        </row>
        <row r="3">
          <cell r="H3" t="str">
            <v>NCV887601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tabSelected="1" workbookViewId="0">
      <selection activeCell="A23" sqref="A23"/>
    </sheetView>
  </sheetViews>
  <sheetFormatPr defaultRowHeight="15" x14ac:dyDescent="0.25"/>
  <cols>
    <col min="1" max="1" width="111.42578125" customWidth="1"/>
  </cols>
  <sheetData>
    <row r="1" spans="1:1" x14ac:dyDescent="0.25">
      <c r="A1" s="7" t="s">
        <v>134</v>
      </c>
    </row>
    <row r="2" spans="1:1" x14ac:dyDescent="0.25">
      <c r="A2" t="s">
        <v>117</v>
      </c>
    </row>
    <row r="3" spans="1:1" x14ac:dyDescent="0.25">
      <c r="A3" t="s">
        <v>115</v>
      </c>
    </row>
    <row r="4" spans="1:1" ht="276.75" customHeight="1" x14ac:dyDescent="0.25"/>
    <row r="5" spans="1:1" x14ac:dyDescent="0.25">
      <c r="A5" t="s">
        <v>116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133</v>
      </c>
    </row>
    <row r="22" spans="1:1" x14ac:dyDescent="0.25">
      <c r="A22" t="s">
        <v>144</v>
      </c>
    </row>
  </sheetData>
  <sheetProtection algorithmName="SHA-512" hashValue="9nJfqAwbqpVb3kYUvFMNaPulyeb4zsd5tWghHWuksQaEXIE2sc7jJQAUNr9jK7nTytlxgrBccQmWiFq04UuyRA==" saltValue="qtaIe8smLUl+LCjF7V0lsw==" spinCount="100000" sheet="1" objects="1" scenarios="1" selectLockedCells="1"/>
  <customSheetViews>
    <customSheetView guid="{25ED444C-8CCE-464F-9E26-1EDA12EA830D}">
      <selection activeCell="A6" sqref="A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T202"/>
  <sheetViews>
    <sheetView zoomScale="85" zoomScaleNormal="85" workbookViewId="0">
      <selection activeCell="B8" sqref="B8"/>
    </sheetView>
  </sheetViews>
  <sheetFormatPr defaultRowHeight="15" x14ac:dyDescent="0.25"/>
  <cols>
    <col min="1" max="1" width="27.42578125" customWidth="1"/>
    <col min="2" max="2" width="12.28515625" bestFit="1" customWidth="1"/>
    <col min="5" max="5" width="44.5703125" customWidth="1"/>
    <col min="9" max="9" width="9.140625" style="5" customWidth="1"/>
    <col min="10" max="10" width="9.140625" style="5"/>
    <col min="11" max="11" width="12.28515625" style="5" bestFit="1" customWidth="1"/>
    <col min="12" max="12" width="12.28515625" style="5" customWidth="1"/>
    <col min="13" max="16" width="9.140625" style="5"/>
    <col min="17" max="17" width="15.7109375" style="5" customWidth="1"/>
    <col min="18" max="18" width="13.7109375" style="10" customWidth="1"/>
    <col min="19" max="46" width="0.140625" style="10" customWidth="1"/>
    <col min="47" max="47" width="13.7109375" customWidth="1"/>
    <col min="48" max="48" width="15.7109375" customWidth="1"/>
  </cols>
  <sheetData>
    <row r="1" spans="1:46" x14ac:dyDescent="0.25">
      <c r="A1" t="s">
        <v>105</v>
      </c>
      <c r="B1" s="2">
        <v>6000</v>
      </c>
      <c r="C1" t="s">
        <v>95</v>
      </c>
      <c r="E1" t="s">
        <v>92</v>
      </c>
      <c r="S1" s="10" t="s">
        <v>7</v>
      </c>
      <c r="T1" s="10">
        <f>'2. Design Parameters'!C4/'2. Design Parameters'!C5</f>
        <v>0.4</v>
      </c>
      <c r="V1" s="10" t="s">
        <v>10</v>
      </c>
      <c r="W1" s="10">
        <f>PI()/T2</f>
        <v>3141592.6535897935</v>
      </c>
      <c r="Z1" s="10" t="s">
        <v>27</v>
      </c>
      <c r="AA1" s="10" t="s">
        <v>20</v>
      </c>
      <c r="AB1" s="10" t="s">
        <v>21</v>
      </c>
      <c r="AC1" s="10" t="s">
        <v>22</v>
      </c>
      <c r="AD1" s="10" t="s">
        <v>23</v>
      </c>
      <c r="AE1" s="10" t="s">
        <v>24</v>
      </c>
      <c r="AF1" s="10" t="s">
        <v>19</v>
      </c>
      <c r="AG1" s="10" t="s">
        <v>25</v>
      </c>
      <c r="AH1" s="10" t="s">
        <v>26</v>
      </c>
      <c r="AI1" s="11" t="s">
        <v>28</v>
      </c>
      <c r="AJ1" s="11" t="s">
        <v>29</v>
      </c>
      <c r="AK1" s="11" t="s">
        <v>99</v>
      </c>
      <c r="AL1" s="11" t="s">
        <v>100</v>
      </c>
      <c r="AM1" s="11" t="s">
        <v>101</v>
      </c>
      <c r="AN1" s="11" t="s">
        <v>102</v>
      </c>
      <c r="AO1" s="11" t="s">
        <v>104</v>
      </c>
      <c r="AP1" s="10" t="s">
        <v>26</v>
      </c>
      <c r="AQ1" s="11" t="s">
        <v>28</v>
      </c>
      <c r="AR1" s="11" t="s">
        <v>29</v>
      </c>
      <c r="AS1" s="11" t="s">
        <v>29</v>
      </c>
      <c r="AT1" s="11" t="s">
        <v>28</v>
      </c>
    </row>
    <row r="2" spans="1:46" x14ac:dyDescent="0.25">
      <c r="A2" t="s">
        <v>111</v>
      </c>
      <c r="B2" s="3">
        <f>INDEX(AJ2:AJ202,MATCH(B1,Z2:Z202,1))</f>
        <v>-13.229120509343339</v>
      </c>
      <c r="E2" t="s">
        <v>93</v>
      </c>
      <c r="F2" s="2">
        <v>1</v>
      </c>
      <c r="G2" t="s">
        <v>95</v>
      </c>
      <c r="S2" s="10" t="s">
        <v>9</v>
      </c>
      <c r="T2" s="10">
        <f>1/('2. Design Parameters'!C7*1000)</f>
        <v>9.9999999999999995E-7</v>
      </c>
      <c r="U2" s="10" t="s">
        <v>20</v>
      </c>
      <c r="V2" s="10" t="s">
        <v>11</v>
      </c>
      <c r="W2" s="10">
        <f>1/(PI()*(T5*T1-0.5))</f>
        <v>0.75788068138997788</v>
      </c>
      <c r="Y2" s="10">
        <v>0</v>
      </c>
      <c r="Z2" s="10">
        <f>10^(LOG($F$3/$F$2,10)*Y2/200)</f>
        <v>1</v>
      </c>
      <c r="AA2" s="10" t="str">
        <f>IMPRODUCT(COMPLEX(0,1),2*PI()*Z2)</f>
        <v>6.28318530717959i</v>
      </c>
      <c r="AB2" s="10">
        <f>$T$6/'5. Current Sense Resistor'!$B$11</f>
        <v>100</v>
      </c>
      <c r="AC2" s="10">
        <f>1/(2*$T$3+$T$6*$T$2/('4. Boost Inductor'!$B$11*$T$3^2)*($T$5-0.5))</f>
        <v>0.17482517482517484</v>
      </c>
      <c r="AD2" s="10" t="str">
        <f t="shared" ref="AD2:AD65" si="0">IMDIV(IMSUM(1,IMDIV(AA2,$W$3)),IMSUM(1,IMDIV(AA2,$W$5)))</f>
        <v>0.999770575329628-0.0151136499912157i</v>
      </c>
      <c r="AE2" s="10" t="str">
        <f t="shared" ref="AE2:AE65" si="1">IMDIV(IMSUM(1,IMDIV(IMPRODUCT(-1,AA2),$W$4)),IMSUM(1,IMDIV(AA2,$W$1*$W$2),IMDIV(IMPOWER(AA2,2),$W$1^2)))</f>
        <v>0.999999999955584-0.0000183469010969206i</v>
      </c>
      <c r="AF2" s="10" t="str">
        <f>IMPRODUCT(AB2,AC$2,AD2,AE2)</f>
        <v>17.4785017132269-0.264545326615552i</v>
      </c>
      <c r="AG2" s="10">
        <f>IMABS(AF2)</f>
        <v>17.480503607422467</v>
      </c>
      <c r="AH2" s="10">
        <f t="shared" ref="AH2:AH56" si="2">IMARGUMENT(AF2)</f>
        <v>-1.5134313732162494E-2</v>
      </c>
      <c r="AI2" s="10">
        <f t="shared" ref="AI2:AI56" si="3">AH2/(PI())*180</f>
        <v>-0.86713230267979624</v>
      </c>
      <c r="AJ2" s="10">
        <f t="shared" ref="AJ2:AJ56" si="4">20*LOG(AG2,10)</f>
        <v>24.851078807127926</v>
      </c>
      <c r="AK2" s="10">
        <f>-1.2/Vout*gm*R0</f>
        <v>-431.99999999999994</v>
      </c>
      <c r="AL2" s="10" t="str">
        <f t="shared" ref="AL2:AL65" si="5">IMDIV(IMSUM(1,IMDIV(AA2,wz1e)),IMSUM(1,IMDIV(AA2,wp1e)))</f>
        <v>0.965478113648711-0.181922724103715i</v>
      </c>
      <c r="AM2" s="10" t="str">
        <f t="shared" ref="AM2:AM65" si="6">IMDIV(IMSUM(1,IMDIV(AA2,wz2e)),IMSUM(1,IMDIV(AA2,wp2e)))</f>
        <v>0.999999999507445-0.0000219182697621065i</v>
      </c>
      <c r="AN2" s="10" t="str">
        <f>IMPRODUCT($AK$2,AL2,AM2)</f>
        <v>-417.084822320465+78.5997585895042i</v>
      </c>
      <c r="AO2" s="10">
        <f>IMABS(AN2)</f>
        <v>424.4262846012511</v>
      </c>
      <c r="AP2" s="10">
        <f>IMARGUMENT(AN2)</f>
        <v>2.9553268391990213</v>
      </c>
      <c r="AQ2" s="10">
        <f>AP2/(PI())*180</f>
        <v>169.32775496784163</v>
      </c>
      <c r="AR2" s="10">
        <f>20*LOG(AO2,10)</f>
        <v>52.556045435962268</v>
      </c>
      <c r="AS2" s="10">
        <f>AR2+AJ2</f>
        <v>77.407124243090195</v>
      </c>
      <c r="AT2" s="10">
        <f>AQ2+AI2</f>
        <v>168.46062266516182</v>
      </c>
    </row>
    <row r="3" spans="1:46" x14ac:dyDescent="0.25">
      <c r="A3" t="s">
        <v>107</v>
      </c>
      <c r="B3" s="2">
        <v>1000</v>
      </c>
      <c r="C3" t="s">
        <v>95</v>
      </c>
      <c r="E3" t="s">
        <v>94</v>
      </c>
      <c r="F3" s="2">
        <v>1000000</v>
      </c>
      <c r="G3" t="s">
        <v>95</v>
      </c>
      <c r="S3" s="10" t="s">
        <v>15</v>
      </c>
      <c r="T3" s="10">
        <f>'2. Design Parameters'!C5/'2. Design Parameters'!C4</f>
        <v>2.5</v>
      </c>
      <c r="V3" s="10" t="s">
        <v>12</v>
      </c>
      <c r="W3" s="10">
        <f>1/('6. Output Capacitors'!C15*'6. Output Capacitors'!C14)</f>
        <v>99999.999999999985</v>
      </c>
      <c r="Y3" s="10">
        <v>1</v>
      </c>
      <c r="Z3" s="10">
        <f t="shared" ref="Z3:Z66" si="7">10^(LOG($F$3/$F$2,10)*Y3/200)</f>
        <v>1.0715193052376064</v>
      </c>
      <c r="AA3" s="10" t="str">
        <f t="shared" ref="AA3:AA66" si="8">IMPRODUCT(COMPLEX(0,1),2*PI()*Z3)</f>
        <v>6.73255435502821i</v>
      </c>
      <c r="AB3" s="10">
        <f>$T$6/'5. Current Sense Resistor'!$B$11</f>
        <v>100</v>
      </c>
      <c r="AD3" s="10" t="str">
        <f t="shared" si="0"/>
        <v>0.999736594224252-0.0161940150142741i</v>
      </c>
      <c r="AE3" s="10" t="str">
        <f t="shared" si="1"/>
        <v>0.999999999949003-0.0000196590587166284i</v>
      </c>
      <c r="AF3" s="10" t="str">
        <f t="shared" ref="AF3:AF66" si="9">IMPRODUCT(AB3,AC$2,AD3,AE3)</f>
        <v>17.4779069198283-0.283455749892575i</v>
      </c>
      <c r="AG3" s="10">
        <f t="shared" ref="AG3:AG66" si="10">IMABS(AF3)</f>
        <v>17.480205303723672</v>
      </c>
      <c r="AH3" s="10">
        <f t="shared" si="2"/>
        <v>-1.6216524291843098E-2</v>
      </c>
      <c r="AI3" s="10">
        <f t="shared" si="3"/>
        <v>-0.92913840029398553</v>
      </c>
      <c r="AJ3" s="10">
        <f t="shared" si="4"/>
        <v>24.850930581700752</v>
      </c>
      <c r="AL3" s="10" t="str">
        <f t="shared" si="5"/>
        <v>0.960566632670662-0.193935045467477i</v>
      </c>
      <c r="AM3" s="10" t="str">
        <f t="shared" si="6"/>
        <v>0.999999999434471-0.0000234858491857455i</v>
      </c>
      <c r="AN3" s="10" t="str">
        <f t="shared" ref="AN3:AN66" si="11">IMPRODUCT($AK$2,AL3,AM3)</f>
        <v>-414.962817436024+83.7896853949353i</v>
      </c>
      <c r="AO3" s="10">
        <f t="shared" ref="AO3:AO66" si="12">IMABS(AN3)</f>
        <v>423.33775077711323</v>
      </c>
      <c r="AP3" s="10">
        <f t="shared" ref="AP3:AP66" si="13">IMARGUMENT(AN3)</f>
        <v>2.9423507127318995</v>
      </c>
      <c r="AQ3" s="10">
        <f t="shared" ref="AQ3:AQ66" si="14">AP3/(PI())*180</f>
        <v>168.58427768684754</v>
      </c>
      <c r="AR3" s="10">
        <f t="shared" ref="AR3:AR66" si="15">20*LOG(AO3,10)</f>
        <v>52.533739960699819</v>
      </c>
      <c r="AS3" s="10">
        <f t="shared" ref="AS3:AS66" si="16">AR3+AJ3</f>
        <v>77.384670542400571</v>
      </c>
      <c r="AT3" s="10">
        <f t="shared" ref="AT3:AT66" si="17">AQ3+AI3</f>
        <v>167.65513928655355</v>
      </c>
    </row>
    <row r="4" spans="1:46" x14ac:dyDescent="0.25">
      <c r="A4" t="s">
        <v>106</v>
      </c>
      <c r="B4" s="2">
        <v>100000</v>
      </c>
      <c r="C4" t="s">
        <v>95</v>
      </c>
      <c r="E4" t="str">
        <f>IF(OR(B1&lt;F2,(B1&gt;F3)),"Crossover frequency needs to be on the graph","")</f>
        <v/>
      </c>
      <c r="S4" s="10" t="s">
        <v>17</v>
      </c>
      <c r="T4" s="10">
        <f>'2. Design Parameters'!C4/'4. Boost Inductor'!B11</f>
        <v>2000000</v>
      </c>
      <c r="U4" s="10" t="s">
        <v>48</v>
      </c>
      <c r="V4" s="10" t="s">
        <v>13</v>
      </c>
      <c r="W4" s="10">
        <f>T6*T1^2/'4. Boost Inductor'!B11</f>
        <v>400000.00000000012</v>
      </c>
      <c r="Y4" s="10">
        <v>2</v>
      </c>
      <c r="Z4" s="10">
        <f t="shared" si="7"/>
        <v>1.1481536214968828</v>
      </c>
      <c r="AA4" s="10" t="str">
        <f t="shared" si="8"/>
        <v>7.21406196497425i</v>
      </c>
      <c r="AB4" s="10">
        <f>$T$6/'5. Current Sense Resistor'!$B$11</f>
        <v>100</v>
      </c>
      <c r="AD4" s="10" t="str">
        <f t="shared" si="0"/>
        <v>0.999697581555438-0.017351519767981i</v>
      </c>
      <c r="AE4" s="10" t="str">
        <f t="shared" si="1"/>
        <v>0.999999999941448-0.0000210650609376584i</v>
      </c>
      <c r="AF4" s="10" t="str">
        <f t="shared" si="9"/>
        <v>17.4772240557007-0.303716406598597i</v>
      </c>
      <c r="AG4" s="10">
        <f t="shared" si="10"/>
        <v>17.479862824084186</v>
      </c>
      <c r="AH4" s="10">
        <f t="shared" si="2"/>
        <v>-1.7376091199104E-2</v>
      </c>
      <c r="AI4" s="10">
        <f t="shared" si="3"/>
        <v>-0.99557669014307304</v>
      </c>
      <c r="AJ4" s="10">
        <f t="shared" si="4"/>
        <v>24.850760402378384</v>
      </c>
      <c r="AL4" s="10" t="str">
        <f t="shared" si="5"/>
        <v>0.954989194964045-0.206589960470489i</v>
      </c>
      <c r="AM4" s="10" t="str">
        <f t="shared" si="6"/>
        <v>0.999999999350686-0.0000251655408002635i</v>
      </c>
      <c r="AN4" s="10" t="str">
        <f t="shared" si="11"/>
        <v>-412.553086011019+89.2572450433475i</v>
      </c>
      <c r="AO4" s="10">
        <f t="shared" si="12"/>
        <v>422.09821673390593</v>
      </c>
      <c r="AP4" s="10">
        <f t="shared" si="13"/>
        <v>2.9285232919878181</v>
      </c>
      <c r="AQ4" s="10">
        <f t="shared" si="14"/>
        <v>167.79202483666003</v>
      </c>
      <c r="AR4" s="10">
        <f t="shared" si="15"/>
        <v>52.508270347316525</v>
      </c>
      <c r="AS4" s="10">
        <f t="shared" si="16"/>
        <v>77.359030749694909</v>
      </c>
      <c r="AT4" s="10">
        <f t="shared" si="17"/>
        <v>166.79644814651695</v>
      </c>
    </row>
    <row r="5" spans="1:46" x14ac:dyDescent="0.25">
      <c r="A5" t="s">
        <v>112</v>
      </c>
      <c r="B5" s="3">
        <f>-B2*B4/(B4-B3)*((Rlower+Rupper)/(gm*Rupper))*SQRT(1+(B1/B4)^2)/SQRT(1+(B3/B1)^2)</f>
        <v>11229.444051939185</v>
      </c>
      <c r="C5" s="1" t="s">
        <v>43</v>
      </c>
      <c r="S5" s="10" t="s">
        <v>16</v>
      </c>
      <c r="T5" s="10">
        <f>1+(T7/T4)</f>
        <v>2.2999999999999998</v>
      </c>
      <c r="V5" s="10" t="s">
        <v>14</v>
      </c>
      <c r="W5" s="10">
        <f>(2/T6+T2/('4. Boost Inductor'!B11*T3^3*(T5)))/'6. Output Capacitors'!C14</f>
        <v>413.91304347826087</v>
      </c>
      <c r="Y5" s="10">
        <v>3</v>
      </c>
      <c r="Z5" s="10">
        <f t="shared" si="7"/>
        <v>1.2302687708123814</v>
      </c>
      <c r="AA5" s="10" t="str">
        <f t="shared" si="8"/>
        <v>7.73000666465024i</v>
      </c>
      <c r="AB5" s="10">
        <f>$T$6/'5. Current Sense Resistor'!$B$11</f>
        <v>100</v>
      </c>
      <c r="AD5" s="10" t="str">
        <f t="shared" si="0"/>
        <v>0.999652792788733-0.0185916519568453i</v>
      </c>
      <c r="AE5" s="10" t="str">
        <f t="shared" si="1"/>
        <v>0.999999999932773-0.0000225716194606971i</v>
      </c>
      <c r="AF5" s="10" t="str">
        <f t="shared" si="9"/>
        <v>17.4764400887734-0.325423352063411i</v>
      </c>
      <c r="AG5" s="10">
        <f t="shared" si="10"/>
        <v>17.47946962966995</v>
      </c>
      <c r="AH5" s="10">
        <f t="shared" si="2"/>
        <v>-1.8618537120913103E-2</v>
      </c>
      <c r="AI5" s="10">
        <f t="shared" si="3"/>
        <v>-1.0667635977359757</v>
      </c>
      <c r="AJ5" s="10">
        <f t="shared" si="4"/>
        <v>24.850565018596782</v>
      </c>
      <c r="AL5" s="10" t="str">
        <f t="shared" si="5"/>
        <v>0.948665345760807-0.219888781779529i</v>
      </c>
      <c r="AM5" s="10" t="str">
        <f t="shared" si="6"/>
        <v>0.999999999254488-0.0000269653627915674i</v>
      </c>
      <c r="AN5" s="10" t="str">
        <f t="shared" si="11"/>
        <v>-409.820867570646+95.0030046953923i</v>
      </c>
      <c r="AO5" s="10">
        <f t="shared" si="12"/>
        <v>420.68838158131922</v>
      </c>
      <c r="AP5" s="10">
        <f t="shared" si="13"/>
        <v>2.9138002594576271</v>
      </c>
      <c r="AQ5" s="10">
        <f t="shared" si="14"/>
        <v>166.94845721104628</v>
      </c>
      <c r="AR5" s="10">
        <f t="shared" si="15"/>
        <v>52.47921035991218</v>
      </c>
      <c r="AS5" s="10">
        <f t="shared" si="16"/>
        <v>77.32977537850897</v>
      </c>
      <c r="AT5" s="10">
        <f t="shared" si="17"/>
        <v>165.88169361331029</v>
      </c>
    </row>
    <row r="6" spans="1:46" x14ac:dyDescent="0.25">
      <c r="A6" t="s">
        <v>113</v>
      </c>
      <c r="B6" s="3">
        <f>1/(B5*B3*2*PI())*10^9</f>
        <v>14.173002898074129</v>
      </c>
      <c r="C6" t="s">
        <v>103</v>
      </c>
      <c r="S6" s="10" t="s">
        <v>18</v>
      </c>
      <c r="T6" s="10">
        <f>'2. Design Parameters'!C5/'2. Design Parameters'!D6</f>
        <v>5</v>
      </c>
      <c r="U6" s="11" t="s">
        <v>43</v>
      </c>
      <c r="Y6" s="10">
        <v>4</v>
      </c>
      <c r="Z6" s="10">
        <f t="shared" si="7"/>
        <v>1.318256738556407</v>
      </c>
      <c r="AA6" s="10" t="str">
        <f t="shared" si="8"/>
        <v>8.2828513707881i</v>
      </c>
      <c r="AB6" s="10">
        <f>$T$6/'5. Current Sense Resistor'!$B$11</f>
        <v>100</v>
      </c>
      <c r="AD6" s="10" t="str">
        <f t="shared" si="0"/>
        <v>0.999601373373556-0.0199202850294479i</v>
      </c>
      <c r="AE6" s="10" t="str">
        <f t="shared" si="1"/>
        <v>0.999999999922813-0.0000241859260026008i</v>
      </c>
      <c r="AF6" s="10" t="str">
        <f t="shared" si="9"/>
        <v>17.4755400612913-0.3486793935797i</v>
      </c>
      <c r="AG6" s="10">
        <f t="shared" si="10"/>
        <v>17.479018214799829</v>
      </c>
      <c r="AH6" s="10">
        <f t="shared" si="2"/>
        <v>-1.9949777445400357E-2</v>
      </c>
      <c r="AI6" s="10">
        <f t="shared" si="3"/>
        <v>-1.1430380498467216</v>
      </c>
      <c r="AJ6" s="10">
        <f t="shared" si="4"/>
        <v>24.850340698840135</v>
      </c>
      <c r="AL6" s="10" t="str">
        <f t="shared" si="5"/>
        <v>0.941507827271104-0.233824592322275i</v>
      </c>
      <c r="AM6" s="10" t="str">
        <f t="shared" si="6"/>
        <v>0.999999999144037-0.0000288939068006283i</v>
      </c>
      <c r="AN6" s="10" t="str">
        <f t="shared" si="11"/>
        <v>-406.728462395187+101.023975855387i</v>
      </c>
      <c r="AO6" s="10">
        <f t="shared" si="12"/>
        <v>419.08696689348722</v>
      </c>
      <c r="AP6" s="10">
        <f t="shared" si="13"/>
        <v>2.8981375157298972</v>
      </c>
      <c r="AQ6" s="10">
        <f t="shared" si="14"/>
        <v>166.05104809985235</v>
      </c>
      <c r="AR6" s="10">
        <f t="shared" si="15"/>
        <v>52.44608310003396</v>
      </c>
      <c r="AS6" s="10">
        <f t="shared" si="16"/>
        <v>77.296423798874088</v>
      </c>
      <c r="AT6" s="10">
        <f t="shared" si="17"/>
        <v>164.90801005000563</v>
      </c>
    </row>
    <row r="7" spans="1:46" x14ac:dyDescent="0.25">
      <c r="A7" t="s">
        <v>114</v>
      </c>
      <c r="B7" s="3">
        <f>(1/(B5*2*PI()*B4))/(1-1/(B6*10^-9*B5*2*PI()*B4))*10^9</f>
        <v>0.14316164543509219</v>
      </c>
      <c r="C7" t="s">
        <v>103</v>
      </c>
      <c r="S7" s="10" t="s">
        <v>30</v>
      </c>
      <c r="T7" s="10">
        <f>'2. Design Parameters'!C8*1000/'5. Current Sense Resistor'!B11</f>
        <v>2600000</v>
      </c>
      <c r="U7" s="10" t="s">
        <v>48</v>
      </c>
      <c r="Y7" s="10">
        <v>5</v>
      </c>
      <c r="Z7" s="10">
        <f t="shared" si="7"/>
        <v>1.4125375446227544</v>
      </c>
      <c r="AA7" s="10" t="str">
        <f t="shared" si="8"/>
        <v>8.87523514621322i</v>
      </c>
      <c r="AB7" s="10">
        <f>$T$6/'5. Current Sense Resistor'!$B$11</f>
        <v>100</v>
      </c>
      <c r="AD7" s="10" t="str">
        <f t="shared" si="0"/>
        <v>0.999542342535887-0.0213437042197421i</v>
      </c>
      <c r="AE7" s="10" t="str">
        <f t="shared" si="1"/>
        <v>0.999999999911378-0.000025915686626819i</v>
      </c>
      <c r="AF7" s="10" t="str">
        <f t="shared" si="9"/>
        <v>17.4745068061286-0.373594546223251i</v>
      </c>
      <c r="AG7" s="10">
        <f t="shared" si="10"/>
        <v>17.478499964310508</v>
      </c>
      <c r="AH7" s="10">
        <f t="shared" si="2"/>
        <v>-2.1376147850183404E-2</v>
      </c>
      <c r="AI7" s="10">
        <f t="shared" si="3"/>
        <v>-1.2247630540631571</v>
      </c>
      <c r="AJ7" s="10">
        <f t="shared" si="4"/>
        <v>24.850083159587353</v>
      </c>
      <c r="AL7" s="10" t="str">
        <f t="shared" si="5"/>
        <v>0.933422887416165-0.248380437720278i</v>
      </c>
      <c r="AM7" s="10" t="str">
        <f t="shared" si="6"/>
        <v>0.999999999017223-0.0000309603789365839i</v>
      </c>
      <c r="AN7" s="10" t="str">
        <f t="shared" si="11"/>
        <v>-403.235364908022+107.31283341227i</v>
      </c>
      <c r="AO7" s="10">
        <f t="shared" si="12"/>
        <v>417.27066003671439</v>
      </c>
      <c r="AP7" s="10">
        <f t="shared" si="13"/>
        <v>2.8814918159658034</v>
      </c>
      <c r="AQ7" s="10">
        <f t="shared" si="14"/>
        <v>165.09731975632786</v>
      </c>
      <c r="AR7" s="10">
        <f t="shared" si="15"/>
        <v>52.408356976183825</v>
      </c>
      <c r="AS7" s="10">
        <f t="shared" si="16"/>
        <v>77.258440135771181</v>
      </c>
      <c r="AT7" s="10">
        <f t="shared" si="17"/>
        <v>163.87255670226472</v>
      </c>
    </row>
    <row r="8" spans="1:46" x14ac:dyDescent="0.25">
      <c r="A8" t="s">
        <v>108</v>
      </c>
      <c r="B8" s="2">
        <v>20000</v>
      </c>
      <c r="C8" s="1" t="s">
        <v>43</v>
      </c>
      <c r="Y8" s="10">
        <v>6</v>
      </c>
      <c r="Z8" s="10">
        <f t="shared" si="7"/>
        <v>1.513561248436208</v>
      </c>
      <c r="AA8" s="10" t="str">
        <f t="shared" si="8"/>
        <v>9.50998579769077i</v>
      </c>
      <c r="AB8" s="10">
        <f>$T$6/'5. Current Sense Resistor'!$B$11</f>
        <v>100</v>
      </c>
      <c r="AD8" s="10" t="str">
        <f t="shared" si="0"/>
        <v>0.999474574698979-0.0228686340960595i</v>
      </c>
      <c r="AE8" s="10" t="str">
        <f t="shared" si="1"/>
        <v>0.999999999898248-0.000027769158529105i</v>
      </c>
      <c r="AF8" s="10" t="str">
        <f t="shared" si="9"/>
        <v>17.4733206215831-0.400286515063692i</v>
      </c>
      <c r="AG8" s="10">
        <f t="shared" si="10"/>
        <v>17.477904989980434</v>
      </c>
      <c r="AH8" s="10">
        <f t="shared" si="2"/>
        <v>-2.290443372318544E-2</v>
      </c>
      <c r="AI8" s="10">
        <f t="shared" si="3"/>
        <v>-1.3123273844756402</v>
      </c>
      <c r="AJ8" s="10">
        <f t="shared" si="4"/>
        <v>24.849787483794845</v>
      </c>
      <c r="AL8" s="10" t="str">
        <f t="shared" si="5"/>
        <v>0.924310917423265-0.263527336884378i</v>
      </c>
      <c r="AM8" s="10" t="str">
        <f t="shared" si="6"/>
        <v>0.999999998871621-0.000033174643723069i</v>
      </c>
      <c r="AN8" s="10" t="str">
        <f t="shared" si="11"/>
        <v>-399.298539148465+113.857056117674i</v>
      </c>
      <c r="AO8" s="10">
        <f t="shared" si="12"/>
        <v>415.21410452184955</v>
      </c>
      <c r="AP8" s="10">
        <f t="shared" si="13"/>
        <v>2.8638215387392298</v>
      </c>
      <c r="AQ8" s="10">
        <f t="shared" si="14"/>
        <v>164.08488744841907</v>
      </c>
      <c r="AR8" s="10">
        <f t="shared" si="15"/>
        <v>52.365441955187997</v>
      </c>
      <c r="AS8" s="10">
        <f t="shared" si="16"/>
        <v>77.215229438982846</v>
      </c>
      <c r="AT8" s="10">
        <f t="shared" si="17"/>
        <v>162.77256006394342</v>
      </c>
    </row>
    <row r="9" spans="1:46" x14ac:dyDescent="0.25">
      <c r="A9" t="s">
        <v>109</v>
      </c>
      <c r="B9" s="2">
        <v>10</v>
      </c>
      <c r="C9" t="s">
        <v>103</v>
      </c>
      <c r="Y9" s="10">
        <v>7</v>
      </c>
      <c r="Z9" s="10">
        <f t="shared" si="7"/>
        <v>1.6218100973589298</v>
      </c>
      <c r="AA9" s="10" t="str">
        <f t="shared" si="8"/>
        <v>10.1901333747611i</v>
      </c>
      <c r="AB9" s="10">
        <f>$T$6/'5. Current Sense Resistor'!$B$11</f>
        <v>100</v>
      </c>
      <c r="AD9" s="10" t="str">
        <f t="shared" si="0"/>
        <v>0.99939677818997-0.0245022676445542i</v>
      </c>
      <c r="AE9" s="10" t="str">
        <f t="shared" si="1"/>
        <v>0.999999999883173-0.0000297551894541154i</v>
      </c>
      <c r="AF9" s="10" t="str">
        <f t="shared" si="9"/>
        <v>17.4719588986643-0.428881204233681i</v>
      </c>
      <c r="AG9" s="10">
        <f t="shared" si="10"/>
        <v>17.477221942973646</v>
      </c>
      <c r="AH9" s="10">
        <f t="shared" si="2"/>
        <v>-2.4541901541106411E-2</v>
      </c>
      <c r="AI9" s="10">
        <f t="shared" si="3"/>
        <v>-1.4061473795310082</v>
      </c>
      <c r="AJ9" s="10">
        <f t="shared" si="4"/>
        <v>24.849448027386593</v>
      </c>
      <c r="AL9" s="10" t="str">
        <f t="shared" si="5"/>
        <v>0.914067502657307-0.279222149030531i</v>
      </c>
      <c r="AM9" s="10" t="str">
        <f t="shared" si="6"/>
        <v>0.999999998704448-0.0000355472711875552i</v>
      </c>
      <c r="AN9" s="10" t="str">
        <f t="shared" si="11"/>
        <v>-394.872872783457+120.638005030448i</v>
      </c>
      <c r="AO9" s="10">
        <f t="shared" si="12"/>
        <v>412.88995376248448</v>
      </c>
      <c r="AP9" s="10">
        <f t="shared" si="13"/>
        <v>2.8450875987042115</v>
      </c>
      <c r="AQ9" s="10">
        <f t="shared" si="14"/>
        <v>163.01151175076134</v>
      </c>
      <c r="AR9" s="10">
        <f t="shared" si="15"/>
        <v>52.316686319223464</v>
      </c>
      <c r="AS9" s="10">
        <f t="shared" si="16"/>
        <v>77.16613434661005</v>
      </c>
      <c r="AT9" s="10">
        <f t="shared" si="17"/>
        <v>161.60536437123034</v>
      </c>
    </row>
    <row r="10" spans="1:46" x14ac:dyDescent="0.25">
      <c r="A10" t="s">
        <v>110</v>
      </c>
      <c r="B10" s="2">
        <v>0.18</v>
      </c>
      <c r="C10" t="s">
        <v>103</v>
      </c>
      <c r="Y10" s="10">
        <v>8</v>
      </c>
      <c r="Z10" s="10">
        <f t="shared" si="7"/>
        <v>1.7378008287493754</v>
      </c>
      <c r="AA10" s="10" t="str">
        <f t="shared" si="8"/>
        <v>10.9189246340026i</v>
      </c>
      <c r="AB10" s="10">
        <f>$T$6/'5. Current Sense Resistor'!$B$11</f>
        <v>100</v>
      </c>
      <c r="AD10" s="10" t="str">
        <f t="shared" si="0"/>
        <v>0.999307470842469-0.0262522968973015i</v>
      </c>
      <c r="AE10" s="10" t="str">
        <f t="shared" si="1"/>
        <v>0.999999999865865-0.0000318832599310576i</v>
      </c>
      <c r="AF10" s="10" t="str">
        <f t="shared" si="9"/>
        <v>17.4703956940493-0.459513253035386i</v>
      </c>
      <c r="AG10" s="10">
        <f t="shared" si="10"/>
        <v>17.476437798829931</v>
      </c>
      <c r="AH10" s="10">
        <f t="shared" si="2"/>
        <v>-2.6296332311992809E-2</v>
      </c>
      <c r="AI10" s="10">
        <f t="shared" si="3"/>
        <v>-1.5066688581506824</v>
      </c>
      <c r="AJ10" s="10">
        <f t="shared" si="4"/>
        <v>24.849058312000906</v>
      </c>
      <c r="AL10" s="10" t="str">
        <f t="shared" si="5"/>
        <v>0.902584976107738-0.295405361537029i</v>
      </c>
      <c r="AM10" s="10" t="str">
        <f t="shared" si="6"/>
        <v>0.999999998512507-0.0000380895873184863i</v>
      </c>
      <c r="AN10" s="10" t="str">
        <f t="shared" si="11"/>
        <v>-389.911848291433+127.62996776073i</v>
      </c>
      <c r="AO10" s="10">
        <f t="shared" si="12"/>
        <v>410.26900700472908</v>
      </c>
      <c r="AP10" s="10">
        <f t="shared" si="13"/>
        <v>2.8252545110179592</v>
      </c>
      <c r="AQ10" s="10">
        <f t="shared" si="14"/>
        <v>161.87515953162622</v>
      </c>
      <c r="AR10" s="10">
        <f t="shared" si="15"/>
        <v>52.26137420503558</v>
      </c>
      <c r="AS10" s="10">
        <f t="shared" si="16"/>
        <v>77.110432517036486</v>
      </c>
      <c r="AT10" s="10">
        <f t="shared" si="17"/>
        <v>160.36849067347555</v>
      </c>
    </row>
    <row r="11" spans="1:46" x14ac:dyDescent="0.25">
      <c r="Y11" s="10">
        <v>9</v>
      </c>
      <c r="Z11" s="10">
        <f t="shared" si="7"/>
        <v>1.8620871366628673</v>
      </c>
      <c r="AA11" s="10" t="str">
        <f t="shared" si="8"/>
        <v>11.6998385377682i</v>
      </c>
      <c r="AB11" s="10">
        <f>$T$6/'5. Current Sense Resistor'!$B$11</f>
        <v>100</v>
      </c>
      <c r="AD11" s="10" t="str">
        <f t="shared" si="0"/>
        <v>0.999204952051309-0.0281269450934238i</v>
      </c>
      <c r="AE11" s="10" t="str">
        <f t="shared" si="1"/>
        <v>0.999999999845992-0.0000341635285300002i</v>
      </c>
      <c r="AF11" s="10" t="str">
        <f t="shared" si="9"/>
        <v>17.4686012409394-0.492326598880747i</v>
      </c>
      <c r="AG11" s="10">
        <f t="shared" si="10"/>
        <v>17.475537611041183</v>
      </c>
      <c r="AH11" s="10">
        <f t="shared" si="2"/>
        <v>-2.8176057188300404E-2</v>
      </c>
      <c r="AI11" s="10">
        <f t="shared" si="3"/>
        <v>-1.6143691602088583</v>
      </c>
      <c r="AJ11" s="10">
        <f t="shared" si="4"/>
        <v>24.848610901993506</v>
      </c>
      <c r="AL11" s="10" t="str">
        <f t="shared" si="5"/>
        <v>0.889754562718094-0.311998895377414i</v>
      </c>
      <c r="AM11" s="10" t="str">
        <f t="shared" si="6"/>
        <v>0.99999999829213-0.0000408137281310696i</v>
      </c>
      <c r="AN11" s="10" t="str">
        <f t="shared" si="11"/>
        <v>-384.3684694197+134.799210307607i</v>
      </c>
      <c r="AO11" s="10">
        <f t="shared" si="12"/>
        <v>407.3204480302914</v>
      </c>
      <c r="AP11" s="10">
        <f t="shared" si="13"/>
        <v>2.8042916098792192</v>
      </c>
      <c r="AQ11" s="10">
        <f t="shared" si="14"/>
        <v>160.67407377002641</v>
      </c>
      <c r="AR11" s="10">
        <f t="shared" si="15"/>
        <v>52.19872425592137</v>
      </c>
      <c r="AS11" s="10">
        <f t="shared" si="16"/>
        <v>77.047335157914873</v>
      </c>
      <c r="AT11" s="10">
        <f t="shared" si="17"/>
        <v>159.05970460981754</v>
      </c>
    </row>
    <row r="12" spans="1:46" x14ac:dyDescent="0.25">
      <c r="A12" t="s">
        <v>96</v>
      </c>
      <c r="B12">
        <f>B8</f>
        <v>20000</v>
      </c>
      <c r="C12" s="1" t="s">
        <v>43</v>
      </c>
      <c r="D12" s="1"/>
      <c r="Y12" s="10">
        <v>10</v>
      </c>
      <c r="Z12" s="10">
        <f t="shared" si="7"/>
        <v>1.9952623149688797</v>
      </c>
      <c r="AA12" s="10" t="str">
        <f t="shared" si="8"/>
        <v>12.5366028613816i</v>
      </c>
      <c r="AB12" s="10">
        <f>$T$6/'5. Current Sense Resistor'!$B$11</f>
        <v>100</v>
      </c>
      <c r="AD12" s="10" t="str">
        <f t="shared" si="0"/>
        <v>0.999087270774968-0.0301350003331561i</v>
      </c>
      <c r="AE12" s="10" t="str">
        <f t="shared" si="1"/>
        <v>0.999999999823175-0.0000366068803548862i</v>
      </c>
      <c r="AF12" s="10" t="str">
        <f t="shared" si="9"/>
        <v>17.4665413889852-0.527475066363861i</v>
      </c>
      <c r="AG12" s="10">
        <f t="shared" si="10"/>
        <v>17.474504228697551</v>
      </c>
      <c r="AH12" s="10">
        <f t="shared" si="2"/>
        <v>-3.0189995355065051E-2</v>
      </c>
      <c r="AI12" s="10">
        <f t="shared" si="3"/>
        <v>-1.7297593173647867</v>
      </c>
      <c r="AJ12" s="10">
        <f t="shared" si="4"/>
        <v>24.84809726340993</v>
      </c>
      <c r="AL12" s="10" t="str">
        <f t="shared" si="5"/>
        <v>0.87546919204654-0.328904062539869i</v>
      </c>
      <c r="AM12" s="10" t="str">
        <f t="shared" si="6"/>
        <v>0.999999998039103-0.0000437326975998151i</v>
      </c>
      <c r="AN12" s="10" t="str">
        <f t="shared" si="11"/>
        <v>-378.196476394145+142.103094562522i</v>
      </c>
      <c r="AO12" s="10">
        <f t="shared" si="12"/>
        <v>404.01220803484659</v>
      </c>
      <c r="AP12" s="10">
        <f t="shared" si="13"/>
        <v>2.7821744155311459</v>
      </c>
      <c r="AQ12" s="10">
        <f t="shared" si="14"/>
        <v>159.40685187921122</v>
      </c>
      <c r="AR12" s="10">
        <f t="shared" si="15"/>
        <v>52.127889767660832</v>
      </c>
      <c r="AS12" s="10">
        <f t="shared" si="16"/>
        <v>76.975987031070758</v>
      </c>
      <c r="AT12" s="10">
        <f t="shared" si="17"/>
        <v>157.67709256184642</v>
      </c>
    </row>
    <row r="13" spans="1:46" x14ac:dyDescent="0.25">
      <c r="A13" t="s">
        <v>97</v>
      </c>
      <c r="B13">
        <f>B9</f>
        <v>10</v>
      </c>
      <c r="C13" t="s">
        <v>103</v>
      </c>
      <c r="Y13" s="10">
        <v>11</v>
      </c>
      <c r="Z13" s="10">
        <f t="shared" si="7"/>
        <v>2.1379620895022318</v>
      </c>
      <c r="AA13" s="10" t="str">
        <f t="shared" si="8"/>
        <v>13.4332119880674i</v>
      </c>
      <c r="AB13" s="10">
        <f>$T$6/'5. Current Sense Resistor'!$B$11</f>
        <v>100</v>
      </c>
      <c r="AD13" s="10" t="str">
        <f t="shared" si="0"/>
        <v>0.998952188913095-0.0322858506480932i</v>
      </c>
      <c r="AE13" s="10" t="str">
        <f t="shared" si="1"/>
        <v>0.999999999796978-0.0000392249790047285i</v>
      </c>
      <c r="AF13" s="10" t="str">
        <f t="shared" si="9"/>
        <v>17.46417696326-0.565122981121946i</v>
      </c>
      <c r="AG13" s="10">
        <f t="shared" si="10"/>
        <v>17.473317973065488</v>
      </c>
      <c r="AH13" s="10">
        <f t="shared" si="2"/>
        <v>-3.2347694293745094E-2</v>
      </c>
      <c r="AI13" s="10">
        <f t="shared" si="3"/>
        <v>-1.8533863600110101</v>
      </c>
      <c r="AJ13" s="10">
        <f t="shared" si="4"/>
        <v>24.84750760231762</v>
      </c>
      <c r="AL13" s="10" t="str">
        <f t="shared" si="5"/>
        <v>0.859627033007554-0.345999850770414i</v>
      </c>
      <c r="AM13" s="10" t="str">
        <f t="shared" si="6"/>
        <v>0.999999997748589-0.0000468604297343624i</v>
      </c>
      <c r="AN13" s="10" t="str">
        <f t="shared" si="11"/>
        <v>-371.35187310405+149.489337232917i</v>
      </c>
      <c r="AO13" s="10">
        <f t="shared" si="12"/>
        <v>400.31147323580825</v>
      </c>
      <c r="AP13" s="10">
        <f t="shared" si="13"/>
        <v>2.7588861333173744</v>
      </c>
      <c r="AQ13" s="10">
        <f t="shared" si="14"/>
        <v>158.07253159625253</v>
      </c>
      <c r="AR13" s="10">
        <f t="shared" si="15"/>
        <v>52.047960749970969</v>
      </c>
      <c r="AS13" s="10">
        <f t="shared" si="16"/>
        <v>76.895468352288589</v>
      </c>
      <c r="AT13" s="10">
        <f t="shared" si="17"/>
        <v>156.21914523624153</v>
      </c>
    </row>
    <row r="14" spans="1:46" x14ac:dyDescent="0.25">
      <c r="A14" t="s">
        <v>98</v>
      </c>
      <c r="B14">
        <f>B10</f>
        <v>0.18</v>
      </c>
      <c r="C14" t="s">
        <v>103</v>
      </c>
      <c r="S14" s="18" t="s">
        <v>120</v>
      </c>
      <c r="Y14" s="10">
        <v>12</v>
      </c>
      <c r="Z14" s="10">
        <f t="shared" si="7"/>
        <v>2.2908676527677727</v>
      </c>
      <c r="AA14" s="10" t="str">
        <f t="shared" si="8"/>
        <v>14.3939459765635i</v>
      </c>
      <c r="AB14" s="10">
        <f>$T$6/'5. Current Sense Resistor'!$B$11</f>
        <v>100</v>
      </c>
      <c r="AD14" s="10" t="str">
        <f t="shared" si="0"/>
        <v>0.99879713941051-0.0345895203640878i</v>
      </c>
      <c r="AE14" s="10" t="str">
        <f t="shared" si="1"/>
        <v>0.999999999766899-0.0000420303222510385i</v>
      </c>
      <c r="AF14" s="10" t="str">
        <f t="shared" si="9"/>
        <v>17.4614630309266-0.605445806322689i</v>
      </c>
      <c r="AG14" s="10">
        <f t="shared" si="10"/>
        <v>17.471956267253248</v>
      </c>
      <c r="AH14" s="10">
        <f t="shared" si="2"/>
        <v>-3.4659372515397829E-2</v>
      </c>
      <c r="AI14" s="10">
        <f t="shared" si="3"/>
        <v>-1.9858357657040195</v>
      </c>
      <c r="AJ14" s="10">
        <f t="shared" si="4"/>
        <v>24.846830679519464</v>
      </c>
      <c r="AL14" s="10" t="str">
        <f t="shared" si="5"/>
        <v>0.842135764177093-0.363141751269994i</v>
      </c>
      <c r="AM14" s="10" t="str">
        <f t="shared" si="6"/>
        <v>0.999999997415034-0.0000502118550949281i</v>
      </c>
      <c r="AN14" s="10" t="str">
        <f t="shared" si="11"/>
        <v>-363.794772087017+156.895503349066i</v>
      </c>
      <c r="AO14" s="10">
        <f t="shared" si="12"/>
        <v>396.1853545614747</v>
      </c>
      <c r="AP14" s="10">
        <f t="shared" si="13"/>
        <v>2.7344192547663737</v>
      </c>
      <c r="AQ14" s="10">
        <f t="shared" si="14"/>
        <v>156.67068271742104</v>
      </c>
      <c r="AR14" s="10">
        <f t="shared" si="15"/>
        <v>51.957968346276935</v>
      </c>
      <c r="AS14" s="10">
        <f t="shared" si="16"/>
        <v>76.804799025796399</v>
      </c>
      <c r="AT14" s="10">
        <f t="shared" si="17"/>
        <v>154.68484695171702</v>
      </c>
    </row>
    <row r="15" spans="1:46" x14ac:dyDescent="0.25">
      <c r="S15" s="10" t="s">
        <v>121</v>
      </c>
      <c r="T15" s="10">
        <f>1*10^-12</f>
        <v>9.9999999999999998E-13</v>
      </c>
      <c r="U15" s="10" t="s">
        <v>122</v>
      </c>
      <c r="Y15" s="10">
        <v>13</v>
      </c>
      <c r="Z15" s="10">
        <f t="shared" si="7"/>
        <v>2.4547089156850301</v>
      </c>
      <c r="AA15" s="10" t="str">
        <f t="shared" si="8"/>
        <v>15.4233909924349i</v>
      </c>
      <c r="AB15" s="10">
        <f>$T$6/'5. Current Sense Resistor'!$B$11</f>
        <v>100</v>
      </c>
      <c r="AD15" s="10" t="str">
        <f t="shared" si="0"/>
        <v>0.99861917835446-0.0370567075740055i</v>
      </c>
      <c r="AE15" s="10" t="str">
        <f t="shared" si="1"/>
        <v>0.999999999732365-0.0000450363016972616i</v>
      </c>
      <c r="AF15" s="10" t="str">
        <f t="shared" si="9"/>
        <v>17.4583480627646-0.648630798578407i</v>
      </c>
      <c r="AG15" s="10">
        <f t="shared" si="10"/>
        <v>17.470393212332141</v>
      </c>
      <c r="AH15" s="10">
        <f t="shared" si="2"/>
        <v>-3.7135964846242542E-2</v>
      </c>
      <c r="AI15" s="10">
        <f t="shared" si="3"/>
        <v>-2.1277340538358889</v>
      </c>
      <c r="AJ15" s="10">
        <f t="shared" si="4"/>
        <v>24.846053598255367</v>
      </c>
      <c r="AL15" s="10" t="str">
        <f t="shared" si="5"/>
        <v>0.822917533712436-0.38016137864526i</v>
      </c>
      <c r="AM15" s="10" t="str">
        <f t="shared" si="6"/>
        <v>0.999999997032062-0.0000538029720648825i</v>
      </c>
      <c r="AN15" s="10" t="str">
        <f t="shared" si="11"/>
        <v>-355.49153746187+164.24884206405i</v>
      </c>
      <c r="AO15" s="10">
        <f t="shared" si="12"/>
        <v>391.60173049462554</v>
      </c>
      <c r="AP15" s="10">
        <f t="shared" si="13"/>
        <v>2.7087772144531077</v>
      </c>
      <c r="AQ15" s="10">
        <f t="shared" si="14"/>
        <v>155.20150202936657</v>
      </c>
      <c r="AR15" s="10">
        <f t="shared" si="15"/>
        <v>51.856892045799029</v>
      </c>
      <c r="AS15" s="10">
        <f t="shared" si="16"/>
        <v>76.702945644054395</v>
      </c>
      <c r="AT15" s="10">
        <f t="shared" si="17"/>
        <v>153.07376797553067</v>
      </c>
    </row>
    <row r="16" spans="1:46" x14ac:dyDescent="0.25">
      <c r="S16" s="10" t="s">
        <v>123</v>
      </c>
      <c r="T16" s="10">
        <f>3*10^6</f>
        <v>3000000</v>
      </c>
      <c r="U16" s="11" t="s">
        <v>43</v>
      </c>
      <c r="Y16" s="10">
        <v>14</v>
      </c>
      <c r="Z16" s="10">
        <f t="shared" si="7"/>
        <v>2.6302679918953817</v>
      </c>
      <c r="AA16" s="10" t="str">
        <f t="shared" si="8"/>
        <v>16.5264612006218i</v>
      </c>
      <c r="AB16" s="10">
        <f>$T$6/'5. Current Sense Resistor'!$B$11</f>
        <v>100</v>
      </c>
      <c r="AD16" s="10" t="str">
        <f t="shared" si="0"/>
        <v>0.998414930238409-0.0396988224630202i</v>
      </c>
      <c r="AE16" s="10" t="str">
        <f t="shared" si="1"/>
        <v>0.999999999692714-0.0000482572667050182i</v>
      </c>
      <c r="AF16" s="10" t="str">
        <f t="shared" si="9"/>
        <v>17.4547729750865-0.694877678783079i</v>
      </c>
      <c r="AG16" s="10">
        <f t="shared" si="10"/>
        <v>17.468599102397448</v>
      </c>
      <c r="AH16" s="10">
        <f t="shared" si="2"/>
        <v>-3.9789170333472394E-2</v>
      </c>
      <c r="AI16" s="10">
        <f t="shared" si="3"/>
        <v>-2.2797515304351106</v>
      </c>
      <c r="AJ16" s="10">
        <f t="shared" si="4"/>
        <v>24.845161561028615</v>
      </c>
      <c r="AL16" s="10" t="str">
        <f t="shared" si="5"/>
        <v>0.801914483659609-0.396867151334347i</v>
      </c>
      <c r="AM16" s="10" t="str">
        <f t="shared" si="6"/>
        <v>0.999999996592351-0.0000576509232206906i</v>
      </c>
      <c r="AN16" s="10" t="str">
        <f t="shared" si="11"/>
        <v>-346.417171705136+171.466580631869i</v>
      </c>
      <c r="AO16" s="10">
        <f t="shared" si="12"/>
        <v>386.53026417833172</v>
      </c>
      <c r="AP16" s="10">
        <f t="shared" si="13"/>
        <v>2.6819760382788078</v>
      </c>
      <c r="AQ16" s="10">
        <f t="shared" si="14"/>
        <v>153.66590774859262</v>
      </c>
      <c r="AR16" s="10">
        <f t="shared" si="15"/>
        <v>51.743670071223178</v>
      </c>
      <c r="AS16" s="10">
        <f t="shared" si="16"/>
        <v>76.588831632251797</v>
      </c>
      <c r="AT16" s="10">
        <f t="shared" si="17"/>
        <v>151.38615621815751</v>
      </c>
    </row>
    <row r="17" spans="19:46" x14ac:dyDescent="0.25">
      <c r="S17" s="10" t="s">
        <v>124</v>
      </c>
      <c r="T17" s="10">
        <v>502</v>
      </c>
      <c r="U17" s="11" t="s">
        <v>43</v>
      </c>
      <c r="Y17" s="10">
        <v>15</v>
      </c>
      <c r="Z17" s="10">
        <f t="shared" si="7"/>
        <v>2.8183829312644537</v>
      </c>
      <c r="AA17" s="10" t="str">
        <f t="shared" si="8"/>
        <v>17.7084222237266i</v>
      </c>
      <c r="AB17" s="10">
        <f>$T$6/'5. Current Sense Resistor'!$B$11</f>
        <v>100</v>
      </c>
      <c r="AD17" s="10" t="str">
        <f t="shared" si="0"/>
        <v>0.998180525462964-0.0425280261358706i</v>
      </c>
      <c r="AE17" s="10" t="str">
        <f t="shared" si="1"/>
        <v>0.999999999647189-0.0000517085928923006i</v>
      </c>
      <c r="AF17" s="10" t="str">
        <f t="shared" si="9"/>
        <v>17.4506700357763-0.744399311735847i</v>
      </c>
      <c r="AG17" s="10">
        <f t="shared" si="10"/>
        <v>17.466539870073113</v>
      </c>
      <c r="AH17" s="10">
        <f t="shared" si="2"/>
        <v>-4.263150281813867E-2</v>
      </c>
      <c r="AI17" s="10">
        <f t="shared" si="3"/>
        <v>-2.4426051857794211</v>
      </c>
      <c r="AJ17" s="10">
        <f t="shared" si="4"/>
        <v>24.844137591165882</v>
      </c>
      <c r="AL17" s="10" t="str">
        <f t="shared" si="5"/>
        <v>0.779094616891835-0.413046295138892i</v>
      </c>
      <c r="AM17" s="10" t="str">
        <f t="shared" si="6"/>
        <v>0.999999996087495-0.0000617740771637659i</v>
      </c>
      <c r="AN17" s="10" t="str">
        <f t="shared" si="11"/>
        <v>-336.557850461243+178.456790033494i</v>
      </c>
      <c r="AO17" s="10">
        <f t="shared" si="12"/>
        <v>380.94358193327128</v>
      </c>
      <c r="AP17" s="10">
        <f t="shared" si="13"/>
        <v>2.6540459001790482</v>
      </c>
      <c r="AQ17" s="10">
        <f t="shared" si="14"/>
        <v>152.06562871425885</v>
      </c>
      <c r="AR17" s="10">
        <f t="shared" si="15"/>
        <v>51.617213221157634</v>
      </c>
      <c r="AS17" s="10">
        <f t="shared" si="16"/>
        <v>76.461350812323516</v>
      </c>
      <c r="AT17" s="10">
        <f t="shared" si="17"/>
        <v>149.62302352847942</v>
      </c>
    </row>
    <row r="18" spans="19:46" x14ac:dyDescent="0.25">
      <c r="S18" s="10" t="s">
        <v>125</v>
      </c>
      <c r="T18" s="10">
        <v>1.1999999999999999E-3</v>
      </c>
      <c r="Y18" s="10">
        <v>16</v>
      </c>
      <c r="Z18" s="10">
        <f t="shared" si="7"/>
        <v>3.0199517204020156</v>
      </c>
      <c r="AA18" s="10" t="str">
        <f t="shared" si="8"/>
        <v>18.9749162780217i</v>
      </c>
      <c r="AB18" s="10">
        <f>$T$6/'5. Current Sense Resistor'!$B$11</f>
        <v>100</v>
      </c>
      <c r="AD18" s="10" t="str">
        <f t="shared" si="0"/>
        <v>0.997911529032852-0.0455572694794712i</v>
      </c>
      <c r="AE18" s="10" t="str">
        <f t="shared" si="1"/>
        <v>0.999999999594918-0.0000554067555306163i</v>
      </c>
      <c r="AF18" s="10" t="str">
        <f t="shared" si="9"/>
        <v>17.4459616162259-0.79742238638369i</v>
      </c>
      <c r="AG18" s="10">
        <f t="shared" si="10"/>
        <v>17.464176452874419</v>
      </c>
      <c r="AH18" s="10">
        <f t="shared" si="2"/>
        <v>-4.567634419370975E-2</v>
      </c>
      <c r="AI18" s="10">
        <f t="shared" si="3"/>
        <v>-2.6170617458864518</v>
      </c>
      <c r="AJ18" s="10">
        <f t="shared" si="4"/>
        <v>24.842962214125343</v>
      </c>
      <c r="AL18" s="10" t="str">
        <f t="shared" si="5"/>
        <v>0.75445767832773-0.428468392258315i</v>
      </c>
      <c r="AM18" s="10" t="str">
        <f t="shared" si="6"/>
        <v>0.999999995507844-0.0000661921162048743i</v>
      </c>
      <c r="AN18" s="10" t="str">
        <f t="shared" si="11"/>
        <v>-325.913463522278+185.119918337038i</v>
      </c>
      <c r="AO18" s="10">
        <f t="shared" si="12"/>
        <v>374.81858261057289</v>
      </c>
      <c r="AP18" s="10">
        <f t="shared" si="13"/>
        <v>2.6250324871766981</v>
      </c>
      <c r="AQ18" s="10">
        <f t="shared" si="14"/>
        <v>150.4032825999542</v>
      </c>
      <c r="AR18" s="10">
        <f t="shared" si="15"/>
        <v>51.476422280663485</v>
      </c>
      <c r="AS18" s="10">
        <f t="shared" si="16"/>
        <v>76.319384494788835</v>
      </c>
      <c r="AT18" s="10">
        <f t="shared" si="17"/>
        <v>147.78622085406775</v>
      </c>
    </row>
    <row r="19" spans="19:46" x14ac:dyDescent="0.25">
      <c r="S19" s="10" t="s">
        <v>126</v>
      </c>
      <c r="T19" s="10">
        <f>0.5*(comp_R2+Rotaesd)/(comp_R2*Rotaesd*comp_C2)*(1-(1-4*comp_R2*Rotaesd*comp_C2/((comp_R2+Rotaesd)^2*comp_C1))^0.5)</f>
        <v>4879.6718171544071</v>
      </c>
      <c r="Y19" s="10">
        <v>17</v>
      </c>
      <c r="Z19" s="10">
        <f t="shared" si="7"/>
        <v>3.2359365692962818</v>
      </c>
      <c r="AA19" s="10" t="str">
        <f t="shared" si="8"/>
        <v>20.3319891071675i</v>
      </c>
      <c r="AB19" s="10">
        <f>$T$6/'5. Current Sense Resistor'!$B$11</f>
        <v>100</v>
      </c>
      <c r="AD19" s="10" t="str">
        <f t="shared" si="0"/>
        <v>0.997602859288657-0.0488003314504967i</v>
      </c>
      <c r="AE19" s="10" t="str">
        <f t="shared" si="1"/>
        <v>0.999999999534904-0.0000593694081914441i</v>
      </c>
      <c r="AF19" s="10" t="str">
        <f t="shared" si="9"/>
        <v>17.440558768844-0.854188085999404i</v>
      </c>
      <c r="AG19" s="10">
        <f t="shared" si="10"/>
        <v>17.461464069652482</v>
      </c>
      <c r="AH19" s="10">
        <f t="shared" si="2"/>
        <v>-4.8938000331649481E-2</v>
      </c>
      <c r="AI19" s="10">
        <f t="shared" si="3"/>
        <v>-2.8039408768133383</v>
      </c>
      <c r="AJ19" s="10">
        <f t="shared" si="4"/>
        <v>24.8416130929057</v>
      </c>
      <c r="AL19" s="10" t="str">
        <f t="shared" si="5"/>
        <v>0.728040618059782-0.442890614990374i</v>
      </c>
      <c r="AM19" s="10" t="str">
        <f t="shared" si="6"/>
        <v>0.999999994842315-0.000070926130319657i</v>
      </c>
      <c r="AN19" s="10" t="str">
        <f t="shared" si="11"/>
        <v>-314.499975172114+191.35105191785i</v>
      </c>
      <c r="AO19" s="10">
        <f t="shared" si="12"/>
        <v>368.13782670805239</v>
      </c>
      <c r="AP19" s="10">
        <f t="shared" si="13"/>
        <v>2.594998059858157</v>
      </c>
      <c r="AQ19" s="10">
        <f t="shared" si="14"/>
        <v>148.68243667450938</v>
      </c>
      <c r="AR19" s="10">
        <f t="shared" si="15"/>
        <v>51.320208882839857</v>
      </c>
      <c r="AS19" s="10">
        <f t="shared" si="16"/>
        <v>76.161821975745553</v>
      </c>
      <c r="AT19" s="10">
        <f t="shared" si="17"/>
        <v>145.87849579769605</v>
      </c>
    </row>
    <row r="20" spans="19:46" x14ac:dyDescent="0.25">
      <c r="S20" s="10" t="s">
        <v>127</v>
      </c>
      <c r="T20" s="10">
        <f>0.5*(comp_R2+Rotaesd)/(comp_R2*Rotaesd*comp_C2)*(1+(1-4*comp_R2*Rotaesd*comp_C2/((comp_R2+Rotaesd)^2*comp_C1))^0.5)</f>
        <v>11339741.84212707</v>
      </c>
      <c r="Y20" s="10">
        <v>18</v>
      </c>
      <c r="Z20" s="10">
        <f t="shared" si="7"/>
        <v>3.4673685045253162</v>
      </c>
      <c r="AA20" s="10" t="str">
        <f t="shared" si="8"/>
        <v>21.7861188422107i</v>
      </c>
      <c r="AB20" s="10">
        <f>$T$6/'5. Current Sense Resistor'!$B$11</f>
        <v>100</v>
      </c>
      <c r="AD20" s="10" t="str">
        <f t="shared" si="0"/>
        <v>0.99724869538453-0.0522718560002753i</v>
      </c>
      <c r="AE20" s="10" t="str">
        <f t="shared" si="1"/>
        <v>0.999999999465999-0.0000636154670174283i</v>
      </c>
      <c r="AF20" s="10" t="str">
        <f t="shared" si="9"/>
        <v>17.4343596075781-0.914952734507893i</v>
      </c>
      <c r="AG20" s="10">
        <f t="shared" si="10"/>
        <v>17.45835139504112</v>
      </c>
      <c r="AH20" s="10">
        <f t="shared" si="2"/>
        <v>-5.243175960703881E-2</v>
      </c>
      <c r="AI20" s="10">
        <f t="shared" si="3"/>
        <v>-3.0041185379278317</v>
      </c>
      <c r="AJ20" s="10">
        <f t="shared" si="4"/>
        <v>24.840064611170305</v>
      </c>
      <c r="AL20" s="10" t="str">
        <f t="shared" si="5"/>
        <v>0.699922120517663-0.45606465338645i</v>
      </c>
      <c r="AM20" s="10" t="str">
        <f t="shared" si="6"/>
        <v>0.999999994078185-0.0000759987178237699i</v>
      </c>
      <c r="AN20" s="10" t="str">
        <f t="shared" si="11"/>
        <v>-302.351381010987+197.042908551605i</v>
      </c>
      <c r="AO20" s="10">
        <f t="shared" si="12"/>
        <v>360.89093284499012</v>
      </c>
      <c r="AP20" s="10">
        <f t="shared" si="13"/>
        <v>2.5640220899227653</v>
      </c>
      <c r="AQ20" s="10">
        <f t="shared" si="14"/>
        <v>146.90764433088728</v>
      </c>
      <c r="AR20" s="10">
        <f t="shared" si="15"/>
        <v>51.147519416482218</v>
      </c>
      <c r="AS20" s="10">
        <f t="shared" si="16"/>
        <v>75.987584027652531</v>
      </c>
      <c r="AT20" s="10">
        <f t="shared" si="17"/>
        <v>143.90352579295944</v>
      </c>
    </row>
    <row r="21" spans="19:46" x14ac:dyDescent="0.25">
      <c r="S21" s="10" t="s">
        <v>128</v>
      </c>
      <c r="T21" s="10">
        <f>0.5*(R0+comp_R2+Rotaesd)/(comp_R2*(R0+Rotaesd)*comp_C2)*(1-(1-4*comp_R2*(R0++Rotaesd)*comp_C2/((R0+comp_R2+Rotaesd)^2*comp_C1))^0.5)</f>
        <v>33.111000236169218</v>
      </c>
      <c r="Y21" s="10">
        <v>19</v>
      </c>
      <c r="Z21" s="10">
        <f t="shared" si="7"/>
        <v>3.7153522909717256</v>
      </c>
      <c r="AA21" s="10" t="str">
        <f t="shared" si="8"/>
        <v>23.3442469256296i</v>
      </c>
      <c r="AB21" s="10">
        <f>$T$6/'5. Current Sense Resistor'!$B$11</f>
        <v>100</v>
      </c>
      <c r="AD21" s="10" t="str">
        <f t="shared" si="0"/>
        <v>0.996842372090365-0.055987386631603i</v>
      </c>
      <c r="AE21" s="10" t="str">
        <f t="shared" si="1"/>
        <v>0.999999999386884-0.0000681652010205908i</v>
      </c>
      <c r="AF21" s="10" t="str">
        <f t="shared" si="9"/>
        <v>17.4272474665685-0.979988401362861i</v>
      </c>
      <c r="AG21" s="10">
        <f t="shared" si="10"/>
        <v>17.454779618426119</v>
      </c>
      <c r="AH21" s="10">
        <f t="shared" si="2"/>
        <v>-5.6173953895259532E-2</v>
      </c>
      <c r="AI21" s="10">
        <f t="shared" si="3"/>
        <v>-3.2185304767608418</v>
      </c>
      <c r="AJ21" s="10">
        <f t="shared" si="4"/>
        <v>24.838287396884603</v>
      </c>
      <c r="AL21" s="10" t="str">
        <f t="shared" si="5"/>
        <v>0.670225642252259-0.467745173877504i</v>
      </c>
      <c r="AM21" s="10" t="str">
        <f t="shared" si="6"/>
        <v>0.999999993200846-0.0000814340932482236i</v>
      </c>
      <c r="AN21" s="10" t="str">
        <f t="shared" si="11"/>
        <v>-289.521020429792+202.089491963142i</v>
      </c>
      <c r="AO21" s="10">
        <f t="shared" si="12"/>
        <v>353.07588990559645</v>
      </c>
      <c r="AP21" s="10">
        <f t="shared" si="13"/>
        <v>2.5322013615864076</v>
      </c>
      <c r="AQ21" s="10">
        <f t="shared" si="14"/>
        <v>145.08445089618166</v>
      </c>
      <c r="AR21" s="10">
        <f t="shared" si="15"/>
        <v>50.957361247979236</v>
      </c>
      <c r="AS21" s="10">
        <f t="shared" si="16"/>
        <v>75.795648644863832</v>
      </c>
      <c r="AT21" s="10">
        <f t="shared" si="17"/>
        <v>141.86592041942083</v>
      </c>
    </row>
    <row r="22" spans="19:46" x14ac:dyDescent="0.25">
      <c r="S22" s="10" t="s">
        <v>129</v>
      </c>
      <c r="T22" s="10">
        <f>0.5*(R0+comp_R2+Rotaesd)/(comp_R2*(R0+Rotaesd)*comp_C2)*(1+(1-4*comp_R2*(R0++Rotaesd)*comp_C2/((R0+comp_R2+Rotaesd)^2*comp_C1))^0.5)</f>
        <v>279596.20880469424</v>
      </c>
      <c r="Y22" s="10">
        <v>20</v>
      </c>
      <c r="Z22" s="10">
        <f t="shared" si="7"/>
        <v>3.9810717055349727</v>
      </c>
      <c r="AA22" s="10" t="str">
        <f t="shared" si="8"/>
        <v>25.0138112470457i</v>
      </c>
      <c r="AB22" s="10">
        <f>$T$6/'5. Current Sense Resistor'!$B$11</f>
        <v>100</v>
      </c>
      <c r="AD22" s="10" t="str">
        <f t="shared" si="0"/>
        <v>0.996376260362352-0.0599633973158958i</v>
      </c>
      <c r="AE22" s="10" t="str">
        <f t="shared" si="1"/>
        <v>0.999999999296049-0.0000730403288386083i</v>
      </c>
      <c r="AF22" s="10" t="str">
        <f t="shared" si="9"/>
        <v>17.4190888096974-1.04958344271658i</v>
      </c>
      <c r="AG22" s="10">
        <f t="shared" si="10"/>
        <v>17.450681372466519</v>
      </c>
      <c r="AH22" s="10">
        <f t="shared" si="2"/>
        <v>-6.0182021832028663E-2</v>
      </c>
      <c r="AI22" s="10">
        <f t="shared" si="3"/>
        <v>-3.4481758535394214</v>
      </c>
      <c r="AJ22" s="10">
        <f t="shared" si="4"/>
        <v>24.836247778368318</v>
      </c>
      <c r="AL22" s="10" t="str">
        <f t="shared" si="5"/>
        <v>0.63912042261608-0.477699445877081i</v>
      </c>
      <c r="AM22" s="10" t="str">
        <f t="shared" si="6"/>
        <v>0.999999992193527-0.0000872582029298719i</v>
      </c>
      <c r="AN22" s="10" t="str">
        <f t="shared" si="11"/>
        <v>-276.082013274458+206.390250999705i</v>
      </c>
      <c r="AO22" s="10">
        <f t="shared" si="12"/>
        <v>344.70017952040473</v>
      </c>
      <c r="AP22" s="10">
        <f t="shared" si="13"/>
        <v>2.4996494418155395</v>
      </c>
      <c r="AQ22" s="10">
        <f t="shared" si="14"/>
        <v>143.21936327826245</v>
      </c>
      <c r="AR22" s="10">
        <f t="shared" si="15"/>
        <v>50.748830191785345</v>
      </c>
      <c r="AS22" s="10">
        <f t="shared" si="16"/>
        <v>75.585077970153662</v>
      </c>
      <c r="AT22" s="10">
        <f t="shared" si="17"/>
        <v>139.77118742472302</v>
      </c>
    </row>
    <row r="23" spans="19:46" x14ac:dyDescent="0.25">
      <c r="S23" s="10" t="s">
        <v>130</v>
      </c>
      <c r="T23" s="10">
        <f>$B$9*10^-9</f>
        <v>1E-8</v>
      </c>
      <c r="U23" s="10" t="s">
        <v>122</v>
      </c>
      <c r="Y23" s="10">
        <v>21</v>
      </c>
      <c r="Z23" s="10">
        <f t="shared" si="7"/>
        <v>4.2657951880159262</v>
      </c>
      <c r="AA23" s="10" t="str">
        <f t="shared" si="8"/>
        <v>26.802781648779i</v>
      </c>
      <c r="AB23" s="10">
        <f>$T$6/'5. Current Sense Resistor'!$B$11</f>
        <v>100</v>
      </c>
      <c r="AD23" s="10" t="str">
        <f t="shared" si="0"/>
        <v>0.995841631994362-0.0642173181750561i</v>
      </c>
      <c r="AE23" s="10" t="str">
        <f t="shared" si="1"/>
        <v>0.999999999191756-0.0000782641224110328i</v>
      </c>
      <c r="AF23" s="10" t="str">
        <f t="shared" si="9"/>
        <v>17.4097308614935-1.12404295095352i</v>
      </c>
      <c r="AG23" s="10">
        <f t="shared" si="10"/>
        <v>17.445979514639685</v>
      </c>
      <c r="AH23" s="10">
        <f t="shared" si="2"/>
        <v>-6.4474574029924736E-2</v>
      </c>
      <c r="AI23" s="10">
        <f t="shared" si="3"/>
        <v>-3.6941209778184714</v>
      </c>
      <c r="AJ23" s="10">
        <f t="shared" si="4"/>
        <v>24.833907163685609</v>
      </c>
      <c r="AL23" s="10" t="str">
        <f t="shared" si="5"/>
        <v>0.606820032188038-0.485717571320511i</v>
      </c>
      <c r="AM23" s="10" t="str">
        <f t="shared" si="6"/>
        <v>0.99999999103697-0.0000934988488688279i</v>
      </c>
      <c r="AN23" s="10" t="str">
        <f t="shared" si="11"/>
        <v>-262.126632693009+209.854499302724i</v>
      </c>
      <c r="AO23" s="10">
        <f t="shared" si="12"/>
        <v>335.78159932398421</v>
      </c>
      <c r="AP23" s="10">
        <f t="shared" si="13"/>
        <v>2.4664954567230075</v>
      </c>
      <c r="AQ23" s="10">
        <f t="shared" si="14"/>
        <v>141.31977985842073</v>
      </c>
      <c r="AR23" s="10">
        <f t="shared" si="15"/>
        <v>50.521137866355481</v>
      </c>
      <c r="AS23" s="10">
        <f t="shared" si="16"/>
        <v>75.355045030041083</v>
      </c>
      <c r="AT23" s="10">
        <f t="shared" si="17"/>
        <v>137.62565888060226</v>
      </c>
    </row>
    <row r="24" spans="19:46" x14ac:dyDescent="0.25">
      <c r="S24" s="10" t="s">
        <v>131</v>
      </c>
      <c r="T24" s="10">
        <f>$B$10*10^-9</f>
        <v>1.8E-10</v>
      </c>
      <c r="U24" s="10" t="s">
        <v>122</v>
      </c>
      <c r="Y24" s="10">
        <v>22</v>
      </c>
      <c r="Z24" s="10">
        <f t="shared" si="7"/>
        <v>4.570881896148749</v>
      </c>
      <c r="AA24" s="10" t="str">
        <f t="shared" si="8"/>
        <v>28.719697970735i</v>
      </c>
      <c r="AB24" s="10">
        <f>$T$6/'5. Current Sense Resistor'!$B$11</f>
        <v>100</v>
      </c>
      <c r="AD24" s="10" t="str">
        <f t="shared" si="0"/>
        <v>0.995228506541515-0.0687675539398276i</v>
      </c>
      <c r="AE24" s="10" t="str">
        <f t="shared" si="1"/>
        <v>0.999999999072011-0.000083861518070361i</v>
      </c>
      <c r="AF24" s="10" t="str">
        <f t="shared" si="9"/>
        <v>17.3989989277358-1.20368907778667i</v>
      </c>
      <c r="AG24" s="10">
        <f t="shared" si="10"/>
        <v>17.440585743699508</v>
      </c>
      <c r="AH24" s="10">
        <f t="shared" si="2"/>
        <v>-6.9071459820584616E-2</v>
      </c>
      <c r="AI24" s="10">
        <f t="shared" si="3"/>
        <v>-3.9575031325269405</v>
      </c>
      <c r="AJ24" s="10">
        <f t="shared" si="4"/>
        <v>24.831221333243676</v>
      </c>
      <c r="AL24" s="10" t="str">
        <f t="shared" si="5"/>
        <v>0.5735782072499-0.491622582342043i</v>
      </c>
      <c r="AM24" s="10" t="str">
        <f t="shared" si="6"/>
        <v>0.999999989709064-0.000100185821444043i</v>
      </c>
      <c r="AN24" s="10" t="str">
        <f t="shared" si="11"/>
        <v>-247.764505421516+212.405778008629i</v>
      </c>
      <c r="AO24" s="10">
        <f t="shared" si="12"/>
        <v>326.34868573079837</v>
      </c>
      <c r="AP24" s="10">
        <f t="shared" si="13"/>
        <v>2.4328821569565058</v>
      </c>
      <c r="AQ24" s="10">
        <f t="shared" si="14"/>
        <v>139.39387964629208</v>
      </c>
      <c r="AR24" s="10">
        <f t="shared" si="15"/>
        <v>50.273637360954822</v>
      </c>
      <c r="AS24" s="10">
        <f t="shared" si="16"/>
        <v>75.104858694198498</v>
      </c>
      <c r="AT24" s="10">
        <f t="shared" si="17"/>
        <v>135.43637651376514</v>
      </c>
    </row>
    <row r="25" spans="19:46" x14ac:dyDescent="0.25">
      <c r="Y25" s="10">
        <v>23</v>
      </c>
      <c r="Z25" s="10">
        <f t="shared" si="7"/>
        <v>4.8977881936844616</v>
      </c>
      <c r="AA25" s="10" t="str">
        <f t="shared" si="8"/>
        <v>30.7737108162359i</v>
      </c>
      <c r="AB25" s="10">
        <f>$T$6/'5. Current Sense Resistor'!$B$11</f>
        <v>100</v>
      </c>
      <c r="AD25" s="10" t="str">
        <f t="shared" si="0"/>
        <v>0.994525478606784-0.0736334927231975i</v>
      </c>
      <c r="AE25" s="10" t="str">
        <f t="shared" si="1"/>
        <v>0.999999998934526-0.0000898592355782598i</v>
      </c>
      <c r="AF25" s="10" t="str">
        <f t="shared" si="9"/>
        <v>17.3866933723387-1.28886118783241i</v>
      </c>
      <c r="AG25" s="10">
        <f t="shared" si="10"/>
        <v>17.434399031375509</v>
      </c>
      <c r="AH25" s="10">
        <f t="shared" si="2"/>
        <v>-7.3993834937859951E-2</v>
      </c>
      <c r="AI25" s="10">
        <f t="shared" si="3"/>
        <v>-4.2395344519270308</v>
      </c>
      <c r="AJ25" s="10">
        <f t="shared" si="4"/>
        <v>24.828139634348091</v>
      </c>
      <c r="AL25" s="10" t="str">
        <f t="shared" si="5"/>
        <v>0.53968197249288-0.495279571856504i</v>
      </c>
      <c r="AM25" s="10" t="str">
        <f t="shared" si="6"/>
        <v>0.999999988184425-0.00010735104162057i</v>
      </c>
      <c r="AN25" s="10" t="str">
        <f t="shared" si="11"/>
        <v>-233.119640450143+213.985800616197i</v>
      </c>
      <c r="AO25" s="10">
        <f t="shared" si="12"/>
        <v>316.44065735767708</v>
      </c>
      <c r="AP25" s="10">
        <f t="shared" si="13"/>
        <v>2.3989633100134746</v>
      </c>
      <c r="AQ25" s="10">
        <f t="shared" si="14"/>
        <v>137.45047287050619</v>
      </c>
      <c r="AR25" s="10">
        <f t="shared" si="15"/>
        <v>50.005845560463904</v>
      </c>
      <c r="AS25" s="10">
        <f t="shared" si="16"/>
        <v>74.833985194811987</v>
      </c>
      <c r="AT25" s="10">
        <f t="shared" si="17"/>
        <v>133.21093841857916</v>
      </c>
    </row>
    <row r="26" spans="19:46" x14ac:dyDescent="0.25">
      <c r="Y26" s="10">
        <v>24</v>
      </c>
      <c r="Z26" s="10">
        <f t="shared" si="7"/>
        <v>5.2480746024977245</v>
      </c>
      <c r="AA26" s="10" t="str">
        <f t="shared" si="8"/>
        <v>32.974625233396i</v>
      </c>
      <c r="AB26" s="10">
        <f>$T$6/'5. Current Sense Resistor'!$B$11</f>
        <v>100</v>
      </c>
      <c r="AD26" s="10" t="str">
        <f t="shared" si="0"/>
        <v>0.993719523515528-0.0788355020802047i</v>
      </c>
      <c r="AE26" s="10" t="str">
        <f t="shared" si="1"/>
        <v>0.999999998776672-0.0000962859056751817i</v>
      </c>
      <c r="AF26" s="10" t="str">
        <f t="shared" si="9"/>
        <v>17.372586215947-1.37991578965161i</v>
      </c>
      <c r="AG26" s="10">
        <f t="shared" si="10"/>
        <v>17.427303848187233</v>
      </c>
      <c r="AH26" s="10">
        <f t="shared" si="2"/>
        <v>-7.9264229367293534E-2</v>
      </c>
      <c r="AI26" s="10">
        <f t="shared" si="3"/>
        <v>-4.5415058091028353</v>
      </c>
      <c r="AJ26" s="10">
        <f t="shared" si="4"/>
        <v>24.824604065291179</v>
      </c>
      <c r="AL26" s="10" t="str">
        <f t="shared" si="5"/>
        <v>0.505442348011213-0.496603021744595i</v>
      </c>
      <c r="AM26" s="10" t="str">
        <f t="shared" si="6"/>
        <v>0.999999986433905-0.000115028713327356i</v>
      </c>
      <c r="AN26" s="10" t="str">
        <f t="shared" si="11"/>
        <v>-218.32641398061+214.557619128732i</v>
      </c>
      <c r="AO26" s="10">
        <f t="shared" si="12"/>
        <v>306.10683587241681</v>
      </c>
      <c r="AP26" s="10">
        <f t="shared" si="13"/>
        <v>2.3649005161593122</v>
      </c>
      <c r="AQ26" s="10">
        <f t="shared" si="14"/>
        <v>135.49881854423853</v>
      </c>
      <c r="AR26" s="10">
        <f t="shared" si="15"/>
        <v>49.717460564408007</v>
      </c>
      <c r="AS26" s="10">
        <f t="shared" si="16"/>
        <v>74.542064629699183</v>
      </c>
      <c r="AT26" s="10">
        <f t="shared" si="17"/>
        <v>130.9573127351357</v>
      </c>
    </row>
    <row r="27" spans="19:46" x14ac:dyDescent="0.25">
      <c r="Y27" s="10">
        <v>25</v>
      </c>
      <c r="Z27" s="10">
        <f t="shared" si="7"/>
        <v>5.6234132519034903</v>
      </c>
      <c r="AA27" s="10" t="str">
        <f t="shared" si="8"/>
        <v>35.332947520559i</v>
      </c>
      <c r="AB27" s="10">
        <f>$T$6/'5. Current Sense Resistor'!$B$11</f>
        <v>100</v>
      </c>
      <c r="AD27" s="10" t="str">
        <f t="shared" si="0"/>
        <v>0.992795779390579-0.0843949086500376i</v>
      </c>
      <c r="AE27" s="10" t="str">
        <f t="shared" si="1"/>
        <v>0.999999998595432-0.000103172206752239i</v>
      </c>
      <c r="AF27" s="10" t="str">
        <f t="shared" si="9"/>
        <v>17.3564173214539-1.47722617942156i</v>
      </c>
      <c r="AG27" s="10">
        <f t="shared" si="10"/>
        <v>17.41916816101255</v>
      </c>
      <c r="AH27" s="10">
        <f t="shared" si="2"/>
        <v>-8.4906614354349749E-2</v>
      </c>
      <c r="AI27" s="10">
        <f t="shared" si="3"/>
        <v>-4.8647906552491342</v>
      </c>
      <c r="AJ27" s="10">
        <f t="shared" si="4"/>
        <v>24.820548235352675</v>
      </c>
      <c r="AL27" s="10" t="str">
        <f t="shared" si="5"/>
        <v>0.47118322573563-0.495561609383692i</v>
      </c>
      <c r="AM27" s="10" t="str">
        <f t="shared" si="6"/>
        <v>0.999999984424039-0.000123255486732915i</v>
      </c>
      <c r="AN27" s="10" t="str">
        <f t="shared" si="11"/>
        <v>-203.524763490343+214.107700715714i</v>
      </c>
      <c r="AO27" s="10">
        <f t="shared" si="12"/>
        <v>295.40554642655206</v>
      </c>
      <c r="AP27" s="10">
        <f t="shared" si="13"/>
        <v>2.3308595993677983</v>
      </c>
      <c r="AQ27" s="10">
        <f t="shared" si="14"/>
        <v>133.54841768132877</v>
      </c>
      <c r="AR27" s="10">
        <f t="shared" si="15"/>
        <v>49.408372904138275</v>
      </c>
      <c r="AS27" s="10">
        <f t="shared" si="16"/>
        <v>74.22892113949095</v>
      </c>
      <c r="AT27" s="10">
        <f t="shared" si="17"/>
        <v>128.68362702607965</v>
      </c>
    </row>
    <row r="28" spans="19:46" x14ac:dyDescent="0.25">
      <c r="Y28" s="10">
        <v>26</v>
      </c>
      <c r="Z28" s="10">
        <f t="shared" si="7"/>
        <v>6.0255958607435751</v>
      </c>
      <c r="AA28" s="10" t="str">
        <f t="shared" si="8"/>
        <v>37.8599353792262i</v>
      </c>
      <c r="AB28" s="10">
        <f>$T$6/'5. Current Sense Resistor'!$B$11</f>
        <v>100</v>
      </c>
      <c r="AD28" s="10" t="str">
        <f t="shared" si="0"/>
        <v>0.991737303707068-0.0903339568778155i</v>
      </c>
      <c r="AE28" s="10" t="str">
        <f t="shared" si="1"/>
        <v>0.99999999838734-0.000110551011297753i</v>
      </c>
      <c r="AF28" s="10" t="str">
        <f t="shared" si="9"/>
        <v>17.3378901328225-1.58118171842664i</v>
      </c>
      <c r="AG28" s="10">
        <f t="shared" si="10"/>
        <v>17.409841179186859</v>
      </c>
      <c r="AH28" s="10">
        <f t="shared" si="2"/>
        <v>-9.0946467279831245E-2</v>
      </c>
      <c r="AI28" s="10">
        <f t="shared" si="3"/>
        <v>-5.2108487367589662</v>
      </c>
      <c r="AJ28" s="10">
        <f t="shared" si="4"/>
        <v>24.815896185910816</v>
      </c>
      <c r="AL28" s="10" t="str">
        <f t="shared" si="5"/>
        <v>0.437229234259008-0.492179999007172i</v>
      </c>
      <c r="AM28" s="10" t="str">
        <f t="shared" si="6"/>
        <v>0.999999982116404-0.000132070633198301i</v>
      </c>
      <c r="AN28" s="10" t="str">
        <f t="shared" si="11"/>
        <v>-188.854944731565+212.646701669923i</v>
      </c>
      <c r="AO28" s="10">
        <f t="shared" si="12"/>
        <v>284.40254900520796</v>
      </c>
      <c r="AP28" s="10">
        <f t="shared" si="13"/>
        <v>2.2970067674520265</v>
      </c>
      <c r="AQ28" s="10">
        <f t="shared" si="14"/>
        <v>131.60879328798927</v>
      </c>
      <c r="AR28" s="10">
        <f t="shared" si="15"/>
        <v>49.078669690235806</v>
      </c>
      <c r="AS28" s="10">
        <f t="shared" si="16"/>
        <v>73.894565876146629</v>
      </c>
      <c r="AT28" s="10">
        <f t="shared" si="17"/>
        <v>126.39794455123031</v>
      </c>
    </row>
    <row r="29" spans="19:46" x14ac:dyDescent="0.25">
      <c r="Y29" s="10">
        <v>27</v>
      </c>
      <c r="Z29" s="10">
        <f t="shared" si="7"/>
        <v>6.4565422903465537</v>
      </c>
      <c r="AA29" s="10" t="str">
        <f t="shared" si="8"/>
        <v>40.5676516538891i</v>
      </c>
      <c r="AB29" s="10">
        <f>$T$6/'5. Current Sense Resistor'!$B$11</f>
        <v>100</v>
      </c>
      <c r="AD29" s="10" t="str">
        <f t="shared" si="0"/>
        <v>0.990524802585015-0.0966757413777408i</v>
      </c>
      <c r="AE29" s="10" t="str">
        <f t="shared" si="1"/>
        <v>0.999999998148419-0.000118457542817561i</v>
      </c>
      <c r="AF29" s="10" t="str">
        <f t="shared" si="9"/>
        <v>17.3166669367169-1.69218664917748i</v>
      </c>
      <c r="AG29" s="10">
        <f t="shared" si="10"/>
        <v>17.399150825624758</v>
      </c>
      <c r="AH29" s="10">
        <f t="shared" si="2"/>
        <v>-9.7410832766890693E-2</v>
      </c>
      <c r="AI29" s="10">
        <f t="shared" si="3"/>
        <v>-5.5812295963975034</v>
      </c>
      <c r="AJ29" s="10">
        <f t="shared" si="4"/>
        <v>24.810561056750004</v>
      </c>
      <c r="AL29" s="10" t="str">
        <f t="shared" si="5"/>
        <v>0.403893545153088-0.486537429763348i</v>
      </c>
      <c r="AM29" s="10" t="str">
        <f t="shared" si="6"/>
        <v>0.999999979466885-0.000141516232742506i</v>
      </c>
      <c r="AN29" s="10" t="str">
        <f t="shared" si="11"/>
        <v>-174.452263451603+210.20885737898i</v>
      </c>
      <c r="AO29" s="10">
        <f t="shared" si="12"/>
        <v>273.16909771049114</v>
      </c>
      <c r="AP29" s="10">
        <f t="shared" si="13"/>
        <v>2.2635047595968256</v>
      </c>
      <c r="AQ29" s="10">
        <f t="shared" si="14"/>
        <v>129.68926963267214</v>
      </c>
      <c r="AR29" s="10">
        <f t="shared" si="15"/>
        <v>48.728631363374944</v>
      </c>
      <c r="AS29" s="10">
        <f t="shared" si="16"/>
        <v>73.539192420124948</v>
      </c>
      <c r="AT29" s="10">
        <f t="shared" si="17"/>
        <v>124.10804003627463</v>
      </c>
    </row>
    <row r="30" spans="19:46" x14ac:dyDescent="0.25">
      <c r="Y30" s="10">
        <v>28</v>
      </c>
      <c r="Z30" s="10">
        <f t="shared" si="7"/>
        <v>6.9183097091893631</v>
      </c>
      <c r="AA30" s="10" t="str">
        <f t="shared" si="8"/>
        <v>43.4690219152965i</v>
      </c>
      <c r="AB30" s="10">
        <f>$T$6/'5. Current Sense Resistor'!$B$11</f>
        <v>100</v>
      </c>
      <c r="AD30" s="10" t="str">
        <f t="shared" si="0"/>
        <v>0.989136331411693-0.103444106414153i</v>
      </c>
      <c r="AE30" s="10" t="str">
        <f t="shared" si="1"/>
        <v>0.999999997874101-0.000126929543978154i</v>
      </c>
      <c r="AF30" s="10" t="str">
        <f t="shared" si="9"/>
        <v>17.2923636223013-1.81065833597412i</v>
      </c>
      <c r="AG30" s="10">
        <f t="shared" si="10"/>
        <v>17.386900910039195</v>
      </c>
      <c r="AH30" s="10">
        <f t="shared" si="2"/>
        <v>-0.10432837796991846</v>
      </c>
      <c r="AI30" s="10">
        <f t="shared" si="3"/>
        <v>-5.9775757411219628</v>
      </c>
      <c r="AJ30" s="10">
        <f t="shared" si="4"/>
        <v>24.804443580696173</v>
      </c>
      <c r="AL30" s="10" t="str">
        <f t="shared" si="5"/>
        <v>0.371466581736636-0.478763248943384i</v>
      </c>
      <c r="AM30" s="10" t="str">
        <f t="shared" si="6"/>
        <v>0.999999976424829-0.000151637374915142i</v>
      </c>
      <c r="AN30" s="10" t="str">
        <f t="shared" si="11"/>
        <v>-160.442197017252+206.850052457474i</v>
      </c>
      <c r="AO30" s="10">
        <f t="shared" si="12"/>
        <v>261.77976007587461</v>
      </c>
      <c r="AP30" s="10">
        <f t="shared" si="13"/>
        <v>2.2305092009060261</v>
      </c>
      <c r="AQ30" s="10">
        <f t="shared" si="14"/>
        <v>127.79876337701312</v>
      </c>
      <c r="AR30" s="10">
        <f t="shared" si="15"/>
        <v>48.358721306696346</v>
      </c>
      <c r="AS30" s="10">
        <f t="shared" si="16"/>
        <v>73.163164887392526</v>
      </c>
      <c r="AT30" s="10">
        <f t="shared" si="17"/>
        <v>121.82118763589115</v>
      </c>
    </row>
    <row r="31" spans="19:46" x14ac:dyDescent="0.25">
      <c r="Y31" s="10">
        <v>29</v>
      </c>
      <c r="Z31" s="10">
        <f t="shared" si="7"/>
        <v>7.4131024130091765</v>
      </c>
      <c r="AA31" s="10" t="str">
        <f t="shared" si="8"/>
        <v>46.5778961620368i</v>
      </c>
      <c r="AB31" s="10">
        <f>$T$6/'5. Current Sense Resistor'!$B$11</f>
        <v>100</v>
      </c>
      <c r="AD31" s="10" t="str">
        <f t="shared" si="0"/>
        <v>0.987546965930003-0.110663504734504i</v>
      </c>
      <c r="AE31" s="10" t="str">
        <f t="shared" si="1"/>
        <v>0.999999997559141-0.000136007456775294i</v>
      </c>
      <c r="AF31" s="10" t="str">
        <f t="shared" si="9"/>
        <v>17.2645439240857-1.93702479398028i</v>
      </c>
      <c r="AG31" s="10">
        <f t="shared" si="10"/>
        <v>17.372867983127563</v>
      </c>
      <c r="AH31" s="10">
        <f t="shared" si="2"/>
        <v>-0.11172943950081769</v>
      </c>
      <c r="AI31" s="10">
        <f t="shared" si="3"/>
        <v>-6.4016253307591207</v>
      </c>
      <c r="AJ31" s="10">
        <f t="shared" si="4"/>
        <v>24.797430389011843</v>
      </c>
      <c r="AL31" s="10" t="str">
        <f t="shared" si="5"/>
        <v>0.340206471245687-0.469029850777436i</v>
      </c>
      <c r="AM31" s="10" t="str">
        <f t="shared" si="6"/>
        <v>0.999999972932082-0.000162482374035271i</v>
      </c>
      <c r="AN31" s="10" t="str">
        <f t="shared" si="11"/>
        <v>-146.936269275851+202.644769955134i</v>
      </c>
      <c r="AO31" s="10">
        <f t="shared" si="12"/>
        <v>250.31014765461384</v>
      </c>
      <c r="AP31" s="10">
        <f t="shared" si="13"/>
        <v>2.1981653621066561</v>
      </c>
      <c r="AQ31" s="10">
        <f t="shared" si="14"/>
        <v>125.94559792055773</v>
      </c>
      <c r="AR31" s="10">
        <f t="shared" si="15"/>
        <v>47.969569128086931</v>
      </c>
      <c r="AS31" s="10">
        <f t="shared" si="16"/>
        <v>72.766999517098782</v>
      </c>
      <c r="AT31" s="10">
        <f t="shared" si="17"/>
        <v>119.54397258979861</v>
      </c>
    </row>
    <row r="32" spans="19:46" x14ac:dyDescent="0.25">
      <c r="Y32" s="10">
        <v>30</v>
      </c>
      <c r="Z32" s="10">
        <f t="shared" si="7"/>
        <v>7.943282347242814</v>
      </c>
      <c r="AA32" s="10" t="str">
        <f t="shared" si="8"/>
        <v>49.909114934975i</v>
      </c>
      <c r="AB32" s="10">
        <f>$T$6/'5. Current Sense Resistor'!$B$11</f>
        <v>100</v>
      </c>
      <c r="AD32" s="10" t="str">
        <f t="shared" si="0"/>
        <v>0.98572844375251-0.118358806588057i</v>
      </c>
      <c r="AE32" s="10" t="str">
        <f t="shared" si="1"/>
        <v>0.999999997197519-0.000145734615588162i</v>
      </c>
      <c r="AF32" s="10" t="str">
        <f t="shared" si="9"/>
        <v>17.2327131471127-2.07172134636684i</v>
      </c>
      <c r="AG32" s="10">
        <f t="shared" si="10"/>
        <v>17.356797854087684</v>
      </c>
      <c r="AH32" s="10">
        <f t="shared" si="2"/>
        <v>-0.11964605886167745</v>
      </c>
      <c r="AI32" s="10">
        <f t="shared" si="3"/>
        <v>-6.8552142081479399</v>
      </c>
      <c r="AJ32" s="10">
        <f t="shared" si="4"/>
        <v>24.789392109696049</v>
      </c>
      <c r="AL32" s="10" t="str">
        <f t="shared" si="5"/>
        <v>0.310331857382798-0.457543718473637i</v>
      </c>
      <c r="AM32" s="10" t="str">
        <f t="shared" si="6"/>
        <v>0.999999968921872-0.000174102999823791i</v>
      </c>
      <c r="AN32" s="10" t="str">
        <f t="shared" si="11"/>
        <v>-134.02894521787+197.682221071301i</v>
      </c>
      <c r="AO32" s="10">
        <f t="shared" si="12"/>
        <v>238.83470996464797</v>
      </c>
      <c r="AP32" s="10">
        <f t="shared" si="13"/>
        <v>2.1666054817335954</v>
      </c>
      <c r="AQ32" s="10">
        <f t="shared" si="14"/>
        <v>124.13734997324359</v>
      </c>
      <c r="AR32" s="10">
        <f t="shared" si="15"/>
        <v>47.561948865451448</v>
      </c>
      <c r="AS32" s="10">
        <f t="shared" si="16"/>
        <v>72.351340975147494</v>
      </c>
      <c r="AT32" s="10">
        <f t="shared" si="17"/>
        <v>117.28213576509565</v>
      </c>
    </row>
    <row r="33" spans="25:46" x14ac:dyDescent="0.25">
      <c r="Y33" s="10">
        <v>31</v>
      </c>
      <c r="Z33" s="10">
        <f t="shared" si="7"/>
        <v>8.5113803820237646</v>
      </c>
      <c r="AA33" s="10" t="str">
        <f t="shared" si="8"/>
        <v>53.4785801601483i</v>
      </c>
      <c r="AB33" s="10">
        <f>$T$6/'5. Current Sense Resistor'!$B$11</f>
        <v>100</v>
      </c>
      <c r="AD33" s="10" t="str">
        <f t="shared" si="0"/>
        <v>0.983648777448696-0.126555048218052i</v>
      </c>
      <c r="AE33" s="10" t="str">
        <f t="shared" si="1"/>
        <v>0.999999996782321-0.000156157454040611i</v>
      </c>
      <c r="AF33" s="10" t="str">
        <f t="shared" si="9"/>
        <v>17.1963113945718-2.21518622202089i</v>
      </c>
      <c r="AG33" s="10">
        <f t="shared" si="10"/>
        <v>17.338401759600313</v>
      </c>
      <c r="AH33" s="10">
        <f t="shared" si="2"/>
        <v>-0.12811200256402203</v>
      </c>
      <c r="AI33" s="10">
        <f t="shared" si="3"/>
        <v>-7.340277051887643</v>
      </c>
      <c r="AJ33" s="10">
        <f t="shared" si="4"/>
        <v>24.780181241146991</v>
      </c>
      <c r="AL33" s="10" t="str">
        <f t="shared" si="5"/>
        <v>0.282017405081086-0.444535397139077i</v>
      </c>
      <c r="AM33" s="10" t="str">
        <f t="shared" si="6"/>
        <v>0.999999964317535-0.000186554724530297i</v>
      </c>
      <c r="AN33" s="10" t="str">
        <f t="shared" si="11"/>
        <v>-121.795688810644+192.062012957111i</v>
      </c>
      <c r="AO33" s="10">
        <f t="shared" si="12"/>
        <v>227.42472740226975</v>
      </c>
      <c r="AP33" s="10">
        <f t="shared" si="13"/>
        <v>2.1359467544045847</v>
      </c>
      <c r="AQ33" s="10">
        <f t="shared" si="14"/>
        <v>122.38073429204888</v>
      </c>
      <c r="AR33" s="10">
        <f t="shared" si="15"/>
        <v>47.136753656508681</v>
      </c>
      <c r="AS33" s="10">
        <f t="shared" si="16"/>
        <v>71.916934897655665</v>
      </c>
      <c r="AT33" s="10">
        <f t="shared" si="17"/>
        <v>115.04045724016125</v>
      </c>
    </row>
    <row r="34" spans="25:46" x14ac:dyDescent="0.25">
      <c r="Y34" s="10">
        <v>32</v>
      </c>
      <c r="Z34" s="10">
        <f t="shared" si="7"/>
        <v>9.1201083935590948</v>
      </c>
      <c r="AA34" s="10" t="str">
        <f t="shared" si="8"/>
        <v>57.3033310582957i</v>
      </c>
      <c r="AB34" s="10">
        <f>$T$6/'5. Current Sense Resistor'!$B$11</f>
        <v>100</v>
      </c>
      <c r="AD34" s="10" t="str">
        <f t="shared" si="0"/>
        <v>0.981271842008408-0.135277107453934i</v>
      </c>
      <c r="AE34" s="10" t="str">
        <f t="shared" si="1"/>
        <v>0.999999996305611-0.000167325726656979i</v>
      </c>
      <c r="AF34" s="10" t="str">
        <f t="shared" si="9"/>
        <v>17.1547063469039-2.36785487724091i</v>
      </c>
      <c r="AG34" s="10">
        <f t="shared" si="10"/>
        <v>17.317352181213458</v>
      </c>
      <c r="AH34" s="10">
        <f t="shared" si="2"/>
        <v>-0.13716276231458363</v>
      </c>
      <c r="AI34" s="10">
        <f t="shared" si="3"/>
        <v>-7.8588473869817008</v>
      </c>
      <c r="AJ34" s="10">
        <f t="shared" si="4"/>
        <v>24.769629784809194</v>
      </c>
      <c r="AL34" s="10" t="str">
        <f t="shared" si="5"/>
        <v>0.255392033445537-0.430249238588881i</v>
      </c>
      <c r="AM34" s="10" t="str">
        <f t="shared" si="6"/>
        <v>0.99999995903105-0.00019989698773403i</v>
      </c>
      <c r="AN34" s="10" t="str">
        <f t="shared" si="11"/>
        <v>-110.29219954083+185.889717962006i</v>
      </c>
      <c r="AO34" s="10">
        <f t="shared" si="12"/>
        <v>216.14660886432708</v>
      </c>
      <c r="AP34" s="10">
        <f t="shared" si="13"/>
        <v>2.1062900301138017</v>
      </c>
      <c r="AQ34" s="10">
        <f t="shared" si="14"/>
        <v>120.68152915600392</v>
      </c>
      <c r="AR34" s="10">
        <f t="shared" si="15"/>
        <v>46.694968525076675</v>
      </c>
      <c r="AS34" s="10">
        <f t="shared" si="16"/>
        <v>71.464598309885872</v>
      </c>
      <c r="AT34" s="10">
        <f t="shared" si="17"/>
        <v>112.82268176902221</v>
      </c>
    </row>
    <row r="35" spans="25:46" x14ac:dyDescent="0.25">
      <c r="Y35" s="10">
        <v>33</v>
      </c>
      <c r="Z35" s="10">
        <f t="shared" si="7"/>
        <v>9.7723722095581049</v>
      </c>
      <c r="AA35" s="10" t="str">
        <f t="shared" si="8"/>
        <v>61.4016254833856i</v>
      </c>
      <c r="AB35" s="10">
        <f>$T$6/'5. Current Sense Resistor'!$B$11</f>
        <v>100</v>
      </c>
      <c r="AD35" s="10" t="str">
        <f t="shared" si="0"/>
        <v>0.978556941729025-0.144549292311856i</v>
      </c>
      <c r="AE35" s="10" t="str">
        <f t="shared" si="1"/>
        <v>0.999999995758273-0.000179292746370587i</v>
      </c>
      <c r="AF35" s="10" t="str">
        <f t="shared" si="9"/>
        <v>17.1071856807456-2.53015279476014i</v>
      </c>
      <c r="AG35" s="10">
        <f t="shared" si="10"/>
        <v>17.293278320790996</v>
      </c>
      <c r="AH35" s="10">
        <f t="shared" si="2"/>
        <v>-0.1468355297295304</v>
      </c>
      <c r="AI35" s="10">
        <f t="shared" si="3"/>
        <v>-8.4130561360698177</v>
      </c>
      <c r="AJ35" s="10">
        <f t="shared" si="4"/>
        <v>24.757546622758653</v>
      </c>
      <c r="AL35" s="10" t="str">
        <f t="shared" si="5"/>
        <v>0.230539652246081-0.414933669192467i</v>
      </c>
      <c r="AM35" s="10" t="str">
        <f t="shared" si="6"/>
        <v>0.999999952961351-0.000214193480082902i</v>
      </c>
      <c r="AN35" s="10" t="str">
        <f t="shared" si="11"/>
        <v>-99.5547306161661+179.272668858462i</v>
      </c>
      <c r="AO35" s="10">
        <f t="shared" si="12"/>
        <v>205.06056224367757</v>
      </c>
      <c r="AP35" s="10">
        <f t="shared" si="13"/>
        <v>2.0777192135843672</v>
      </c>
      <c r="AQ35" s="10">
        <f t="shared" si="14"/>
        <v>119.04454195162471</v>
      </c>
      <c r="AR35" s="10">
        <f t="shared" si="15"/>
        <v>46.237642876128398</v>
      </c>
      <c r="AS35" s="10">
        <f t="shared" si="16"/>
        <v>70.995189498887044</v>
      </c>
      <c r="AT35" s="10">
        <f t="shared" si="17"/>
        <v>110.6314858155549</v>
      </c>
    </row>
    <row r="36" spans="25:46" x14ac:dyDescent="0.25">
      <c r="Y36" s="10">
        <v>34</v>
      </c>
      <c r="Z36" s="10">
        <f t="shared" si="7"/>
        <v>10.471285480508991</v>
      </c>
      <c r="AA36" s="10" t="str">
        <f t="shared" si="8"/>
        <v>65.793027078417i</v>
      </c>
      <c r="AB36" s="10">
        <f>$T$6/'5. Current Sense Resistor'!$B$11</f>
        <v>100</v>
      </c>
      <c r="AD36" s="10" t="str">
        <f t="shared" si="0"/>
        <v>0.975458364546284-0.154394826832854i</v>
      </c>
      <c r="AE36" s="10" t="str">
        <f t="shared" si="1"/>
        <v>0.999999995129846-0.00019211563901866i</v>
      </c>
      <c r="AF36" s="10" t="str">
        <f t="shared" si="9"/>
        <v>17.0529492680915-2.70248648405539i</v>
      </c>
      <c r="AG36" s="10">
        <f t="shared" si="10"/>
        <v>17.265761261427325</v>
      </c>
      <c r="AH36" s="10">
        <f t="shared" si="2"/>
        <v>-0.15716913900267057</v>
      </c>
      <c r="AI36" s="10">
        <f t="shared" si="3"/>
        <v>-9.005128334558</v>
      </c>
      <c r="AJ36" s="10">
        <f t="shared" si="4"/>
        <v>24.743714630076212</v>
      </c>
      <c r="AL36" s="10" t="str">
        <f t="shared" si="5"/>
        <v>0.207501984451539-0.398832568513885i</v>
      </c>
      <c r="AM36" s="10" t="str">
        <f t="shared" si="6"/>
        <v>0.999999945992405-0.000229512447324963i</v>
      </c>
      <c r="AN36" s="10" t="str">
        <f t="shared" si="11"/>
        <v>-89.6013084409848+172.316233985259i</v>
      </c>
      <c r="AO36" s="10">
        <f t="shared" si="12"/>
        <v>194.21966679303881</v>
      </c>
      <c r="AP36" s="10">
        <f t="shared" si="13"/>
        <v>2.0503013058420443</v>
      </c>
      <c r="AQ36" s="10">
        <f t="shared" si="14"/>
        <v>117.47361155491053</v>
      </c>
      <c r="AR36" s="10">
        <f t="shared" si="15"/>
        <v>45.765864094059346</v>
      </c>
      <c r="AS36" s="10">
        <f t="shared" si="16"/>
        <v>70.509578724135565</v>
      </c>
      <c r="AT36" s="10">
        <f t="shared" si="17"/>
        <v>108.46848322035254</v>
      </c>
    </row>
    <row r="37" spans="25:46" x14ac:dyDescent="0.25">
      <c r="Y37" s="10">
        <v>35</v>
      </c>
      <c r="Z37" s="10">
        <f t="shared" si="7"/>
        <v>11.220184543019631</v>
      </c>
      <c r="AA37" s="10" t="str">
        <f t="shared" si="8"/>
        <v>70.4984986645444i</v>
      </c>
      <c r="AB37" s="10">
        <f>$T$6/'5. Current Sense Resistor'!$B$11</f>
        <v>100</v>
      </c>
      <c r="AD37" s="10" t="str">
        <f t="shared" si="0"/>
        <v>0.971924935680438-0.164835216898061i</v>
      </c>
      <c r="AE37" s="10" t="str">
        <f t="shared" si="1"/>
        <v>0.999999994408315-0.000205855616038566i</v>
      </c>
      <c r="AF37" s="10" t="str">
        <f t="shared" si="9"/>
        <v>16.9911013634724-2.885232380817i</v>
      </c>
      <c r="AG37" s="10">
        <f t="shared" si="10"/>
        <v>17.234328865236048</v>
      </c>
      <c r="AH37" s="10">
        <f t="shared" si="2"/>
        <v>-0.16820396980564353</v>
      </c>
      <c r="AI37" s="10">
        <f t="shared" si="3"/>
        <v>-9.6373775672093078</v>
      </c>
      <c r="AJ37" s="10">
        <f t="shared" si="4"/>
        <v>24.727887517803953</v>
      </c>
      <c r="AL37" s="10" t="str">
        <f t="shared" si="5"/>
        <v>0.186282946738987-0.382178146387261i</v>
      </c>
      <c r="AM37" s="10" t="str">
        <f t="shared" si="6"/>
        <v>0.999999937990985-0.000245927016083516i</v>
      </c>
      <c r="AN37" s="10" t="str">
        <f t="shared" si="11"/>
        <v>-80.4336252148562+165.12073978954i</v>
      </c>
      <c r="AO37" s="10">
        <f t="shared" si="12"/>
        <v>183.66934086517799</v>
      </c>
      <c r="AP37" s="10">
        <f t="shared" si="13"/>
        <v>2.0240869961519845</v>
      </c>
      <c r="AQ37" s="10">
        <f t="shared" si="14"/>
        <v>115.97164224682122</v>
      </c>
      <c r="AR37" s="10">
        <f t="shared" si="15"/>
        <v>45.280733348835057</v>
      </c>
      <c r="AS37" s="10">
        <f t="shared" si="16"/>
        <v>70.008620866639006</v>
      </c>
      <c r="AT37" s="10">
        <f t="shared" si="17"/>
        <v>106.33426467961191</v>
      </c>
    </row>
    <row r="38" spans="25:46" x14ac:dyDescent="0.25">
      <c r="Y38" s="10">
        <v>36</v>
      </c>
      <c r="Z38" s="10">
        <f t="shared" si="7"/>
        <v>12.022644346174127</v>
      </c>
      <c r="AA38" s="10" t="str">
        <f t="shared" si="8"/>
        <v>75.540502309327i</v>
      </c>
      <c r="AB38" s="10">
        <f>$T$6/'5. Current Sense Resistor'!$B$11</f>
        <v>100</v>
      </c>
      <c r="AD38" s="10" t="str">
        <f t="shared" si="0"/>
        <v>0.967899587355134-0.175889477678308i</v>
      </c>
      <c r="AE38" s="10" t="str">
        <f t="shared" si="1"/>
        <v>0.999999993579887-0.000220578266667076i</v>
      </c>
      <c r="AF38" s="10" t="str">
        <f t="shared" si="9"/>
        <v>16.920643072465-3.07872332451686i</v>
      </c>
      <c r="AG38" s="10">
        <f t="shared" si="10"/>
        <v>17.19845049109605</v>
      </c>
      <c r="AH38" s="10">
        <f t="shared" si="2"/>
        <v>-0.17998180146004281</v>
      </c>
      <c r="AI38" s="10">
        <f t="shared" si="3"/>
        <v>-10.31219761282197</v>
      </c>
      <c r="AJ38" s="10">
        <f t="shared" si="4"/>
        <v>24.709786410848157</v>
      </c>
      <c r="AL38" s="10" t="str">
        <f t="shared" si="5"/>
        <v>0.166854029447193-0.365185504258042i</v>
      </c>
      <c r="AM38" s="10" t="str">
        <f t="shared" si="6"/>
        <v>0.999999928804126-0.000263515542930888i</v>
      </c>
      <c r="AN38" s="10" t="str">
        <f t="shared" si="11"/>
        <v>-72.0393633409462+157.779121055832i</v>
      </c>
      <c r="AO38" s="10">
        <f t="shared" si="12"/>
        <v>173.44717037680306</v>
      </c>
      <c r="AP38" s="10">
        <f t="shared" si="13"/>
        <v>1.9991116926011603</v>
      </c>
      <c r="AQ38" s="10">
        <f t="shared" si="14"/>
        <v>114.54066276130089</v>
      </c>
      <c r="AR38" s="10">
        <f t="shared" si="15"/>
        <v>44.783344382810419</v>
      </c>
      <c r="AS38" s="10">
        <f t="shared" si="16"/>
        <v>69.49313079365858</v>
      </c>
      <c r="AT38" s="10">
        <f t="shared" si="17"/>
        <v>104.22846514847892</v>
      </c>
    </row>
    <row r="39" spans="25:46" x14ac:dyDescent="0.25">
      <c r="Y39" s="10">
        <v>37</v>
      </c>
      <c r="Z39" s="10">
        <f t="shared" si="7"/>
        <v>12.882495516931341</v>
      </c>
      <c r="AA39" s="10" t="str">
        <f t="shared" si="8"/>
        <v>80.9431065517899i</v>
      </c>
      <c r="AB39" s="10">
        <f>$T$6/'5. Current Sense Resistor'!$B$11</f>
        <v>100</v>
      </c>
      <c r="AD39" s="10" t="str">
        <f t="shared" si="0"/>
        <v>0.963318967407292-0.187573204009146i</v>
      </c>
      <c r="AE39" s="10" t="str">
        <f t="shared" si="1"/>
        <v>0.999999992628724-0.000236353871037532i</v>
      </c>
      <c r="AF39" s="10" t="str">
        <f t="shared" si="9"/>
        <v>16.8404655009359-3.28323228659935i</v>
      </c>
      <c r="AG39" s="10">
        <f t="shared" si="10"/>
        <v>17.157531656272141</v>
      </c>
      <c r="AH39" s="10">
        <f t="shared" si="2"/>
        <v>-0.19254560813082017</v>
      </c>
      <c r="AI39" s="10">
        <f t="shared" si="3"/>
        <v>-11.032050709675822</v>
      </c>
      <c r="AJ39" s="10">
        <f t="shared" si="4"/>
        <v>24.68909617705237</v>
      </c>
      <c r="AL39" s="10" t="str">
        <f t="shared" si="5"/>
        <v>0.149160152489442-0.348048890041535i</v>
      </c>
      <c r="AM39" s="10" t="str">
        <f t="shared" si="6"/>
        <v>0.9999999182562-0.000282361988426991i</v>
      </c>
      <c r="AN39" s="10" t="str">
        <f t="shared" si="11"/>
        <v>-64.3947254725806+150.375302819113i</v>
      </c>
      <c r="AO39" s="10">
        <f t="shared" si="12"/>
        <v>163.58304425162453</v>
      </c>
      <c r="AP39" s="10">
        <f t="shared" si="13"/>
        <v>1.9753968730341263</v>
      </c>
      <c r="AQ39" s="10">
        <f t="shared" si="14"/>
        <v>113.18190368819558</v>
      </c>
      <c r="AR39" s="10">
        <f t="shared" si="15"/>
        <v>44.274765721476328</v>
      </c>
      <c r="AS39" s="10">
        <f t="shared" si="16"/>
        <v>68.963861898528705</v>
      </c>
      <c r="AT39" s="10">
        <f t="shared" si="17"/>
        <v>102.14985297851976</v>
      </c>
    </row>
    <row r="40" spans="25:46" x14ac:dyDescent="0.25">
      <c r="Y40" s="10">
        <v>38</v>
      </c>
      <c r="Z40" s="10">
        <f t="shared" si="7"/>
        <v>13.803842646028851</v>
      </c>
      <c r="AA40" s="10" t="str">
        <f t="shared" si="8"/>
        <v>86.7321012961475i</v>
      </c>
      <c r="AB40" s="10">
        <f>$T$6/'5. Current Sense Resistor'!$B$11</f>
        <v>100</v>
      </c>
      <c r="AD40" s="10" t="str">
        <f t="shared" si="0"/>
        <v>0.958113116942453-0.19989746574879i</v>
      </c>
      <c r="AE40" s="10" t="str">
        <f t="shared" si="1"/>
        <v>0.999999991536642-0.000253257735669481i</v>
      </c>
      <c r="AF40" s="10" t="str">
        <f t="shared" si="9"/>
        <v>16.7493441128332-3.49895303523598i</v>
      </c>
      <c r="AG40" s="10">
        <f t="shared" si="10"/>
        <v>17.110908817268804</v>
      </c>
      <c r="AH40" s="10">
        <f t="shared" si="2"/>
        <v>-0.2059392835110794</v>
      </c>
      <c r="AI40" s="10">
        <f t="shared" si="3"/>
        <v>-11.799451781132957</v>
      </c>
      <c r="AJ40" s="10">
        <f t="shared" si="4"/>
        <v>24.665461539557185</v>
      </c>
      <c r="AL40" s="10" t="str">
        <f t="shared" si="5"/>
        <v>0.133125553399067-0.330939520398861i</v>
      </c>
      <c r="AM40" s="10" t="str">
        <f t="shared" si="6"/>
        <v>0.999999906145561-0.00030255631790802i</v>
      </c>
      <c r="AN40" s="10" t="str">
        <f t="shared" si="11"/>
        <v>-57.4669784427411+142.983259480501i</v>
      </c>
      <c r="AO40" s="10">
        <f t="shared" si="12"/>
        <v>154.09953310444115</v>
      </c>
      <c r="AP40" s="10">
        <f t="shared" si="13"/>
        <v>1.9529516423819213</v>
      </c>
      <c r="AQ40" s="10">
        <f t="shared" si="14"/>
        <v>111.89588670162655</v>
      </c>
      <c r="AR40" s="10">
        <f t="shared" si="15"/>
        <v>43.756026457629638</v>
      </c>
      <c r="AS40" s="10">
        <f t="shared" si="16"/>
        <v>68.42148799718683</v>
      </c>
      <c r="AT40" s="10">
        <f t="shared" si="17"/>
        <v>100.09643492049359</v>
      </c>
    </row>
    <row r="41" spans="25:46" x14ac:dyDescent="0.25">
      <c r="Y41" s="10">
        <v>39</v>
      </c>
      <c r="Z41" s="10">
        <f t="shared" si="7"/>
        <v>14.791083881682074</v>
      </c>
      <c r="AA41" s="10" t="str">
        <f t="shared" si="8"/>
        <v>92.9351209226456i</v>
      </c>
      <c r="AB41" s="10">
        <f>$T$6/'5. Current Sense Resistor'!$B$11</f>
        <v>100</v>
      </c>
      <c r="AD41" s="10" t="str">
        <f t="shared" si="0"/>
        <v>0.952205255820362-0.212867512618023i</v>
      </c>
      <c r="AE41" s="10" t="str">
        <f t="shared" si="1"/>
        <v>0.999999990282766-0.000271370552952312i</v>
      </c>
      <c r="AF41" s="10" t="str">
        <f t="shared" si="9"/>
        <v>16.6459349754013-3.72597746532055i</v>
      </c>
      <c r="AG41" s="10">
        <f t="shared" si="10"/>
        <v>17.057844508535208</v>
      </c>
      <c r="AH41" s="10">
        <f t="shared" si="2"/>
        <v>-0.22020728229658235</v>
      </c>
      <c r="AI41" s="10">
        <f t="shared" si="3"/>
        <v>-12.616947893640058</v>
      </c>
      <c r="AJ41" s="10">
        <f t="shared" si="4"/>
        <v>24.638483025267707</v>
      </c>
      <c r="AL41" s="10" t="str">
        <f t="shared" si="5"/>
        <v>0.118659366284476-0.314004755590622i</v>
      </c>
      <c r="AM41" s="10" t="str">
        <f t="shared" si="6"/>
        <v>0.999999892240688-0.000324194930938202i</v>
      </c>
      <c r="AN41" s="10" t="str">
        <f t="shared" si="11"/>
        <v>-51.2168636510372+135.666658304097i</v>
      </c>
      <c r="AO41" s="10">
        <f t="shared" si="12"/>
        <v>145.01244531987436</v>
      </c>
      <c r="AP41" s="10">
        <f t="shared" si="13"/>
        <v>1.9317743945530292</v>
      </c>
      <c r="AQ41" s="10">
        <f t="shared" si="14"/>
        <v>110.68251977932846</v>
      </c>
      <c r="AR41" s="10">
        <f t="shared" si="15"/>
        <v>43.228105520810949</v>
      </c>
      <c r="AS41" s="10">
        <f t="shared" si="16"/>
        <v>67.86658854607866</v>
      </c>
      <c r="AT41" s="10">
        <f t="shared" si="17"/>
        <v>98.065571885688399</v>
      </c>
    </row>
    <row r="42" spans="25:46" x14ac:dyDescent="0.25">
      <c r="Y42" s="10">
        <v>40</v>
      </c>
      <c r="Z42" s="10">
        <f t="shared" si="7"/>
        <v>15.848931924611136</v>
      </c>
      <c r="AA42" s="10" t="str">
        <f t="shared" si="8"/>
        <v>99.5817762032062i</v>
      </c>
      <c r="AB42" s="10">
        <f>$T$6/'5. Current Sense Resistor'!$B$11</f>
        <v>100</v>
      </c>
      <c r="AD42" s="10" t="str">
        <f t="shared" si="0"/>
        <v>0.945511724558814-0.226481277816543i</v>
      </c>
      <c r="AE42" s="10" t="str">
        <f t="shared" si="1"/>
        <v>0.999999988843122-0.000290778786338894i</v>
      </c>
      <c r="AF42" s="10" t="str">
        <f t="shared" si="9"/>
        <v>16.5287737422861-3.96426940631915i</v>
      </c>
      <c r="AG42" s="10">
        <f t="shared" si="10"/>
        <v>16.997523153376328</v>
      </c>
      <c r="AH42" s="10">
        <f t="shared" si="2"/>
        <v>-0.23539416482339875</v>
      </c>
      <c r="AI42" s="10">
        <f t="shared" si="3"/>
        <v>-13.487092166387614</v>
      </c>
      <c r="AJ42" s="10">
        <f t="shared" si="4"/>
        <v>24.607712828517883</v>
      </c>
      <c r="AL42" s="10" t="str">
        <f t="shared" si="5"/>
        <v>0.105660657532996-0.297368367071634i</v>
      </c>
      <c r="AM42" s="10" t="str">
        <f t="shared" si="6"/>
        <v>0.999999876275758-0.000347381121474342i</v>
      </c>
      <c r="AN42" s="10" t="str">
        <f t="shared" si="11"/>
        <v>-45.6007727390545+128.478975032592i</v>
      </c>
      <c r="AO42" s="10">
        <f t="shared" si="12"/>
        <v>136.33149856076656</v>
      </c>
      <c r="AP42" s="10">
        <f t="shared" si="13"/>
        <v>1.9118544937998441</v>
      </c>
      <c r="AQ42" s="10">
        <f t="shared" si="14"/>
        <v>109.54119353785148</v>
      </c>
      <c r="AR42" s="10">
        <f t="shared" si="15"/>
        <v>42.691924170355556</v>
      </c>
      <c r="AS42" s="10">
        <f t="shared" si="16"/>
        <v>67.299636998873439</v>
      </c>
      <c r="AT42" s="10">
        <f t="shared" si="17"/>
        <v>96.054101371463872</v>
      </c>
    </row>
    <row r="43" spans="25:46" x14ac:dyDescent="0.25">
      <c r="Y43" s="10">
        <v>41</v>
      </c>
      <c r="Z43" s="10">
        <f t="shared" si="7"/>
        <v>16.982436524617441</v>
      </c>
      <c r="AA43" s="10" t="str">
        <f t="shared" si="8"/>
        <v>106.703795651586i</v>
      </c>
      <c r="AB43" s="10">
        <f>$T$6/'5. Current Sense Resistor'!$B$11</f>
        <v>100</v>
      </c>
      <c r="AD43" s="10" t="str">
        <f t="shared" si="0"/>
        <v>0.937942141881957-0.240727677666259i</v>
      </c>
      <c r="AE43" s="10" t="str">
        <f t="shared" si="1"/>
        <v>0.999999987190191-0.000311575083087989i</v>
      </c>
      <c r="AF43" s="10" t="str">
        <f t="shared" si="9"/>
        <v>16.396278411205-4.21363485984916i</v>
      </c>
      <c r="AG43" s="10">
        <f t="shared" si="10"/>
        <v>16.929047949305456</v>
      </c>
      <c r="AH43" s="10">
        <f t="shared" si="2"/>
        <v>-0.25154403075433179</v>
      </c>
      <c r="AI43" s="10">
        <f t="shared" si="3"/>
        <v>-14.412411323932194</v>
      </c>
      <c r="AJ43" s="10">
        <f t="shared" si="4"/>
        <v>24.572650701470813</v>
      </c>
      <c r="AL43" s="10" t="str">
        <f t="shared" si="5"/>
        <v>0.0940227823151856-0.281131628781754i</v>
      </c>
      <c r="AM43" s="10" t="str">
        <f t="shared" si="6"/>
        <v>0.999999857945566-0.000372225570939398i</v>
      </c>
      <c r="AN43" s="10" t="str">
        <f t="shared" si="11"/>
        <v>-40.5726298176096+121.463965380782i</v>
      </c>
      <c r="AO43" s="10">
        <f t="shared" si="12"/>
        <v>128.06105253487726</v>
      </c>
      <c r="AP43" s="10">
        <f t="shared" si="13"/>
        <v>1.89317390904828</v>
      </c>
      <c r="AQ43" s="10">
        <f t="shared" si="14"/>
        <v>108.47087487275043</v>
      </c>
      <c r="AR43" s="10">
        <f t="shared" si="15"/>
        <v>42.148341339456977</v>
      </c>
      <c r="AS43" s="10">
        <f t="shared" si="16"/>
        <v>66.720992040927797</v>
      </c>
      <c r="AT43" s="10">
        <f t="shared" si="17"/>
        <v>94.058463548818239</v>
      </c>
    </row>
    <row r="44" spans="25:46" x14ac:dyDescent="0.25">
      <c r="Y44" s="10">
        <v>42</v>
      </c>
      <c r="Z44" s="10">
        <f t="shared" si="7"/>
        <v>18.197008586099834</v>
      </c>
      <c r="AA44" s="10" t="str">
        <f t="shared" si="8"/>
        <v>114.335176982803i</v>
      </c>
      <c r="AB44" s="10">
        <f>$T$6/'5. Current Sense Resistor'!$B$11</f>
        <v>100</v>
      </c>
      <c r="AD44" s="10" t="str">
        <f t="shared" si="0"/>
        <v>0.929399847960296-0.255584716549458i</v>
      </c>
      <c r="AE44" s="10" t="str">
        <f t="shared" si="1"/>
        <v>0.99999998529237-0.000333858716525716i</v>
      </c>
      <c r="AF44" s="10" t="str">
        <f t="shared" si="9"/>
        <v>16.2467570822657-4.47368882920965i</v>
      </c>
      <c r="AG44" s="10">
        <f t="shared" si="10"/>
        <v>16.851439328162623</v>
      </c>
      <c r="AH44" s="10">
        <f t="shared" si="2"/>
        <v>-0.2686998278993305</v>
      </c>
      <c r="AI44" s="10">
        <f t="shared" si="3"/>
        <v>-15.395366094523206</v>
      </c>
      <c r="AJ44" s="10">
        <f t="shared" si="4"/>
        <v>24.532740021752467</v>
      </c>
      <c r="AL44" s="10" t="str">
        <f t="shared" si="5"/>
        <v>0.0836370074961815-0.265374979616066i</v>
      </c>
      <c r="AM44" s="10" t="str">
        <f t="shared" si="6"/>
        <v>0.99999983689969-0.000398846876558372i</v>
      </c>
      <c r="AN44" s="10" t="str">
        <f t="shared" si="11"/>
        <v>-36.0854567452323+114.656383307173i</v>
      </c>
      <c r="AO44" s="10">
        <f t="shared" si="12"/>
        <v>120.20085865580751</v>
      </c>
      <c r="AP44" s="10">
        <f t="shared" si="13"/>
        <v>1.8757087529372889</v>
      </c>
      <c r="AQ44" s="10">
        <f t="shared" si="14"/>
        <v>107.47019513905352</v>
      </c>
      <c r="AR44" s="10">
        <f t="shared" si="15"/>
        <v>41.598151401279011</v>
      </c>
      <c r="AS44" s="10">
        <f t="shared" si="16"/>
        <v>66.130891423031471</v>
      </c>
      <c r="AT44" s="10">
        <f t="shared" si="17"/>
        <v>92.074829044530304</v>
      </c>
    </row>
    <row r="45" spans="25:46" x14ac:dyDescent="0.25">
      <c r="Y45" s="10">
        <v>43</v>
      </c>
      <c r="Z45" s="10">
        <f t="shared" si="7"/>
        <v>19.498445997580447</v>
      </c>
      <c r="AA45" s="10" t="str">
        <f t="shared" si="8"/>
        <v>122.512349404832i</v>
      </c>
      <c r="AB45" s="10">
        <f>$T$6/'5. Current Sense Resistor'!$B$11</f>
        <v>100</v>
      </c>
      <c r="AD45" s="10" t="str">
        <f t="shared" si="0"/>
        <v>0.919782713316527-0.271017423402827i</v>
      </c>
      <c r="AE45" s="10" t="str">
        <f t="shared" si="1"/>
        <v>0.999999983113382-0.000357736059937235i</v>
      </c>
      <c r="AF45" s="10" t="str">
        <f t="shared" si="9"/>
        <v>16.0784221167707-4.74381920052657i</v>
      </c>
      <c r="AG45" s="10">
        <f t="shared" si="10"/>
        <v>16.763635595310038</v>
      </c>
      <c r="AH45" s="10">
        <f t="shared" si="2"/>
        <v>-0.28690252345577766</v>
      </c>
      <c r="AI45" s="10">
        <f t="shared" si="3"/>
        <v>-16.438303725669165</v>
      </c>
      <c r="AJ45" s="10">
        <f t="shared" si="4"/>
        <v>24.487364233088055</v>
      </c>
      <c r="AL45" s="10" t="str">
        <f t="shared" si="5"/>
        <v>0.0743954083792505-0.250160036932123i</v>
      </c>
      <c r="AM45" s="10" t="str">
        <f t="shared" si="6"/>
        <v>0.999999812735793-0.000427372117477977i</v>
      </c>
      <c r="AN45" s="10" t="str">
        <f t="shared" si="11"/>
        <v>-32.0926246659193+108.082850951223i</v>
      </c>
      <c r="AO45" s="10">
        <f t="shared" si="12"/>
        <v>112.74679253837714</v>
      </c>
      <c r="AP45" s="10">
        <f t="shared" si="13"/>
        <v>1.8594306938192422</v>
      </c>
      <c r="AQ45" s="10">
        <f t="shared" si="14"/>
        <v>106.53753105292498</v>
      </c>
      <c r="AR45" s="10">
        <f t="shared" si="15"/>
        <v>41.04208391517777</v>
      </c>
      <c r="AS45" s="10">
        <f t="shared" si="16"/>
        <v>65.529448148265828</v>
      </c>
      <c r="AT45" s="10">
        <f t="shared" si="17"/>
        <v>90.099227327255818</v>
      </c>
    </row>
    <row r="46" spans="25:46" x14ac:dyDescent="0.25">
      <c r="Y46" s="10">
        <v>44</v>
      </c>
      <c r="Z46" s="10">
        <f t="shared" si="7"/>
        <v>20.892961308540382</v>
      </c>
      <c r="AA46" s="10" t="str">
        <f t="shared" si="8"/>
        <v>131.274347517293i</v>
      </c>
      <c r="AB46" s="10">
        <f>$T$6/'5. Current Sense Resistor'!$B$11</f>
        <v>100</v>
      </c>
      <c r="AD46" s="10" t="str">
        <f t="shared" si="0"/>
        <v>0.908984400790532-0.286975668782707i</v>
      </c>
      <c r="AE46" s="10" t="str">
        <f t="shared" si="1"/>
        <v>0.999999980611568-0.000383321094350812i</v>
      </c>
      <c r="AF46" s="10" t="str">
        <f t="shared" si="9"/>
        <v>15.8894122262122-5.0231485334608i</v>
      </c>
      <c r="AG46" s="10">
        <f t="shared" si="10"/>
        <v>16.664496454550047</v>
      </c>
      <c r="AH46" s="10">
        <f t="shared" si="2"/>
        <v>-0.3061901275297752</v>
      </c>
      <c r="AI46" s="10">
        <f t="shared" si="3"/>
        <v>-17.543402036028557</v>
      </c>
      <c r="AJ46" s="10">
        <f t="shared" si="4"/>
        <v>24.435843905308396</v>
      </c>
      <c r="AL46" s="10" t="str">
        <f t="shared" si="5"/>
        <v>0.0661930891526789-0.235531780811396i</v>
      </c>
      <c r="AM46" s="10" t="str">
        <f t="shared" si="6"/>
        <v>0.999999784991929-0.000457937461371795i</v>
      </c>
      <c r="AN46" s="10" t="str">
        <f t="shared" si="11"/>
        <v>-28.5488133529766+101.762802345039i</v>
      </c>
      <c r="AO46" s="10">
        <f t="shared" si="12"/>
        <v>105.69154500232538</v>
      </c>
      <c r="AP46" s="10">
        <f t="shared" si="13"/>
        <v>1.8443082229203602</v>
      </c>
      <c r="AQ46" s="10">
        <f t="shared" si="14"/>
        <v>105.67107729460965</v>
      </c>
      <c r="AR46" s="10">
        <f t="shared" si="15"/>
        <v>40.480804929553756</v>
      </c>
      <c r="AS46" s="10">
        <f t="shared" si="16"/>
        <v>64.916648834862144</v>
      </c>
      <c r="AT46" s="10">
        <f t="shared" si="17"/>
        <v>88.127675258581093</v>
      </c>
    </row>
    <row r="47" spans="25:46" x14ac:dyDescent="0.25">
      <c r="Y47" s="10">
        <v>45</v>
      </c>
      <c r="Z47" s="10">
        <f t="shared" si="7"/>
        <v>22.387211385683386</v>
      </c>
      <c r="AA47" s="10" t="str">
        <f t="shared" si="8"/>
        <v>140.662997647249i</v>
      </c>
      <c r="AB47" s="10">
        <f>$T$6/'5. Current Sense Resistor'!$B$11</f>
        <v>100</v>
      </c>
      <c r="AD47" s="10" t="str">
        <f t="shared" si="0"/>
        <v>0.89689617063219-0.303391940465505i</v>
      </c>
      <c r="AE47" s="10" t="str">
        <f t="shared" si="1"/>
        <v>0.999999977739102-0.00041073595263825i</v>
      </c>
      <c r="AF47" s="10" t="str">
        <f t="shared" si="9"/>
        <v>15.6778240679858-5.31049512613269i</v>
      </c>
      <c r="AG47" s="10">
        <f t="shared" si="10"/>
        <v>16.552810214322939</v>
      </c>
      <c r="AH47" s="10">
        <f t="shared" si="2"/>
        <v>-0.32659656316715874</v>
      </c>
      <c r="AI47" s="10">
        <f t="shared" si="3"/>
        <v>-18.71260467295599</v>
      </c>
      <c r="AJ47" s="10">
        <f t="shared" si="4"/>
        <v>24.37743471385668</v>
      </c>
      <c r="AL47" s="10" t="str">
        <f t="shared" si="5"/>
        <v>0.0589298024494679-0.2215207698864i</v>
      </c>
      <c r="AM47" s="10" t="str">
        <f t="shared" si="6"/>
        <v>0.999999753137713-0.000490688814425731i</v>
      </c>
      <c r="AN47" s="10" t="str">
        <f t="shared" si="11"/>
        <v>-25.4107109396056+95.7094407631473i</v>
      </c>
      <c r="AO47" s="10">
        <f t="shared" si="12"/>
        <v>99.025255776749162</v>
      </c>
      <c r="AP47" s="10">
        <f t="shared" si="13"/>
        <v>1.8303077699624333</v>
      </c>
      <c r="AQ47" s="10">
        <f t="shared" si="14"/>
        <v>104.86891042884898</v>
      </c>
      <c r="AR47" s="10">
        <f t="shared" si="15"/>
        <v>39.914919456727269</v>
      </c>
      <c r="AS47" s="10">
        <f t="shared" si="16"/>
        <v>64.292354170583948</v>
      </c>
      <c r="AT47" s="10">
        <f t="shared" si="17"/>
        <v>86.156305755892987</v>
      </c>
    </row>
    <row r="48" spans="25:46" x14ac:dyDescent="0.25">
      <c r="Y48" s="10">
        <v>46</v>
      </c>
      <c r="Z48" s="10">
        <f t="shared" si="7"/>
        <v>23.988329190194897</v>
      </c>
      <c r="AA48" s="10" t="str">
        <f t="shared" si="8"/>
        <v>150.72311751162i</v>
      </c>
      <c r="AB48" s="10">
        <f>$T$6/'5. Current Sense Resistor'!$B$11</f>
        <v>100</v>
      </c>
      <c r="AD48" s="10" t="str">
        <f t="shared" si="0"/>
        <v>0.883409313845611-0.320179190452727i</v>
      </c>
      <c r="AE48" s="10" t="str">
        <f t="shared" si="1"/>
        <v>0.999999974441069-0.000440111502528986i</v>
      </c>
      <c r="AF48" s="10" t="str">
        <f t="shared" si="9"/>
        <v>15.4417548377976-5.6043353298908i</v>
      </c>
      <c r="AG48" s="10">
        <f t="shared" si="10"/>
        <v>16.42730552952942</v>
      </c>
      <c r="AH48" s="10">
        <f t="shared" si="2"/>
        <v>-0.34815038370904311</v>
      </c>
      <c r="AI48" s="10">
        <f t="shared" si="3"/>
        <v>-19.947547622388342</v>
      </c>
      <c r="AJ48" s="10">
        <f t="shared" si="4"/>
        <v>24.311326692168507</v>
      </c>
      <c r="AL48" s="10" t="str">
        <f t="shared" si="5"/>
        <v>0.0525110554945776-0.208145287751682i</v>
      </c>
      <c r="AM48" s="10" t="str">
        <f t="shared" si="6"/>
        <v>0.999999716564182-0.000525782517805477i</v>
      </c>
      <c r="AN48" s="10" t="str">
        <f t="shared" si="11"/>
        <v>-22.6374918296833+89.9306660811554i</v>
      </c>
      <c r="AO48" s="10">
        <f t="shared" si="12"/>
        <v>92.73608110190581</v>
      </c>
      <c r="AP48" s="10">
        <f t="shared" si="13"/>
        <v>1.8173946688712006</v>
      </c>
      <c r="AQ48" s="10">
        <f t="shared" si="14"/>
        <v>104.12904423589556</v>
      </c>
      <c r="AR48" s="10">
        <f t="shared" si="15"/>
        <v>39.344974785308693</v>
      </c>
      <c r="AS48" s="10">
        <f t="shared" si="16"/>
        <v>63.6563014774772</v>
      </c>
      <c r="AT48" s="10">
        <f t="shared" si="17"/>
        <v>84.181496613507221</v>
      </c>
    </row>
    <row r="49" spans="25:46" x14ac:dyDescent="0.25">
      <c r="Y49" s="10">
        <v>47</v>
      </c>
      <c r="Z49" s="10">
        <f t="shared" si="7"/>
        <v>25.703957827688622</v>
      </c>
      <c r="AA49" s="10" t="str">
        <f t="shared" si="8"/>
        <v>161.502730159297i</v>
      </c>
      <c r="AB49" s="10">
        <f>$T$6/'5. Current Sense Resistor'!$B$11</f>
        <v>100</v>
      </c>
      <c r="AD49" s="10" t="str">
        <f t="shared" si="0"/>
        <v>0.868418282937362-0.337228905800987i</v>
      </c>
      <c r="AE49" s="10" t="str">
        <f t="shared" si="1"/>
        <v>0.999999970654421-0.000471587971320903i</v>
      </c>
      <c r="AF49" s="10" t="str">
        <f t="shared" si="9"/>
        <v>15.1793570691882-5.90276978183773i</v>
      </c>
      <c r="AG49" s="10">
        <f t="shared" si="10"/>
        <v>16.286668539983566</v>
      </c>
      <c r="AH49" s="10">
        <f t="shared" si="2"/>
        <v>-0.37087334746652784</v>
      </c>
      <c r="AI49" s="10">
        <f t="shared" si="3"/>
        <v>-21.249477543720946</v>
      </c>
      <c r="AJ49" s="10">
        <f t="shared" si="4"/>
        <v>24.23664515741914</v>
      </c>
      <c r="AL49" s="10" t="str">
        <f t="shared" si="5"/>
        <v>0.046848792499095-0.195413351994351i</v>
      </c>
      <c r="AM49" s="10" t="str">
        <f t="shared" si="6"/>
        <v>0.999999674572153-0.000563386093929212i</v>
      </c>
      <c r="AN49" s="10" t="str">
        <f t="shared" si="11"/>
        <v>-20.1911115260642+84.4299427793541i</v>
      </c>
      <c r="AO49" s="10">
        <f t="shared" si="12"/>
        <v>86.810691866745145</v>
      </c>
      <c r="AP49" s="10">
        <f t="shared" si="13"/>
        <v>1.8055339810329336</v>
      </c>
      <c r="AQ49" s="10">
        <f t="shared" si="14"/>
        <v>103.44947688064073</v>
      </c>
      <c r="AR49" s="10">
        <f t="shared" si="15"/>
        <v>38.771464349789781</v>
      </c>
      <c r="AS49" s="10">
        <f t="shared" si="16"/>
        <v>63.008109507208921</v>
      </c>
      <c r="AT49" s="10">
        <f t="shared" si="17"/>
        <v>82.199999336919788</v>
      </c>
    </row>
    <row r="50" spans="25:46" x14ac:dyDescent="0.25">
      <c r="Y50" s="10">
        <v>48</v>
      </c>
      <c r="Z50" s="10">
        <f t="shared" si="7"/>
        <v>27.542287033381651</v>
      </c>
      <c r="AA50" s="10" t="str">
        <f t="shared" si="8"/>
        <v>173.053293214266i</v>
      </c>
      <c r="AB50" s="10">
        <f>$T$6/'5. Current Sense Resistor'!$B$11</f>
        <v>100</v>
      </c>
      <c r="AD50" s="10" t="str">
        <f t="shared" si="0"/>
        <v>0.851824558604119-0.354409597053816i</v>
      </c>
      <c r="AE50" s="10" t="str">
        <f t="shared" si="1"/>
        <v>0.999999966306767-0.000505315615270036i</v>
      </c>
      <c r="AF50" s="10" t="str">
        <f t="shared" si="9"/>
        <v>14.8889063146819-6.20349694691511i</v>
      </c>
      <c r="AG50" s="10">
        <f t="shared" si="10"/>
        <v>16.129566194345085</v>
      </c>
      <c r="AH50" s="10">
        <f t="shared" si="2"/>
        <v>-0.39477887171702308</v>
      </c>
      <c r="AI50" s="10">
        <f t="shared" si="3"/>
        <v>-22.619163190321967</v>
      </c>
      <c r="AJ50" s="10">
        <f t="shared" si="4"/>
        <v>24.152453743395306</v>
      </c>
      <c r="AL50" s="10" t="str">
        <f t="shared" si="5"/>
        <v>0.0418617385171458-0.183324544786104i</v>
      </c>
      <c r="AM50" s="10" t="str">
        <f t="shared" si="6"/>
        <v>0.999999626358857-0.000603679046106416i</v>
      </c>
      <c r="AN50" s="10" t="str">
        <f t="shared" si="11"/>
        <v>-18.0364551938872+79.2070908521276i</v>
      </c>
      <c r="AO50" s="10">
        <f t="shared" si="12"/>
        <v>81.234702912107068</v>
      </c>
      <c r="AP50" s="10">
        <f t="shared" si="13"/>
        <v>1.7946911873077238</v>
      </c>
      <c r="AQ50" s="10">
        <f t="shared" si="14"/>
        <v>102.82823056205527</v>
      </c>
      <c r="AR50" s="10">
        <f t="shared" si="15"/>
        <v>38.19483193053798</v>
      </c>
      <c r="AS50" s="10">
        <f t="shared" si="16"/>
        <v>62.347285673933285</v>
      </c>
      <c r="AT50" s="10">
        <f t="shared" si="17"/>
        <v>80.209067371733298</v>
      </c>
    </row>
    <row r="51" spans="25:46" x14ac:dyDescent="0.25">
      <c r="Y51" s="10">
        <v>49</v>
      </c>
      <c r="Z51" s="10">
        <f t="shared" si="7"/>
        <v>29.512092266663849</v>
      </c>
      <c r="AA51" s="10" t="str">
        <f t="shared" si="8"/>
        <v>185.429944514031i</v>
      </c>
      <c r="AB51" s="10">
        <f>$T$6/'5. Current Sense Resistor'!$B$11</f>
        <v>100</v>
      </c>
      <c r="AD51" s="10" t="str">
        <f t="shared" si="0"/>
        <v>0.833541242391723-0.371565936428561i</v>
      </c>
      <c r="AE51" s="10" t="str">
        <f t="shared" si="1"/>
        <v>0.999999961314992-0.000541455436854511i</v>
      </c>
      <c r="AF51" s="10" t="str">
        <f t="shared" si="9"/>
        <v>14.5688815340864-6.50379803307806i</v>
      </c>
      <c r="AG51" s="10">
        <f t="shared" si="10"/>
        <v>15.954676368053152</v>
      </c>
      <c r="AH51" s="10">
        <f t="shared" si="2"/>
        <v>-0.41987040283112959</v>
      </c>
      <c r="AI51" s="10">
        <f t="shared" si="3"/>
        <v>-24.056802024681456</v>
      </c>
      <c r="AJ51" s="10">
        <f t="shared" si="4"/>
        <v>24.057759983822574</v>
      </c>
      <c r="AL51" s="10" t="str">
        <f t="shared" si="5"/>
        <v>0.037475481581377-0.171871644788559i</v>
      </c>
      <c r="AM51" s="10" t="str">
        <f t="shared" si="6"/>
        <v>0.999999571002593-0.000646853715357833i</v>
      </c>
      <c r="AN51" s="10" t="str">
        <f t="shared" si="11"/>
        <v>-16.1413731471585+74.258990874964i</v>
      </c>
      <c r="AO51" s="10">
        <f t="shared" si="12"/>
        <v>75.993036870780443</v>
      </c>
      <c r="AP51" s="10">
        <f t="shared" si="13"/>
        <v>1.7848327620938058</v>
      </c>
      <c r="AQ51" s="10">
        <f t="shared" si="14"/>
        <v>102.26338440465241</v>
      </c>
      <c r="AR51" s="10">
        <f t="shared" si="15"/>
        <v>37.615476006895527</v>
      </c>
      <c r="AS51" s="10">
        <f t="shared" si="16"/>
        <v>61.673235990718098</v>
      </c>
      <c r="AT51" s="10">
        <f t="shared" si="17"/>
        <v>78.206582379970953</v>
      </c>
    </row>
    <row r="52" spans="25:46" x14ac:dyDescent="0.25">
      <c r="Y52" s="10">
        <v>50</v>
      </c>
      <c r="Z52" s="10">
        <f t="shared" si="7"/>
        <v>31.622776601683789</v>
      </c>
      <c r="AA52" s="10" t="str">
        <f t="shared" si="8"/>
        <v>198.691765315922i</v>
      </c>
      <c r="AB52" s="10">
        <f>$T$6/'5. Current Sense Resistor'!$B$11</f>
        <v>100</v>
      </c>
      <c r="AD52" s="10" t="str">
        <f t="shared" si="0"/>
        <v>0.813498297025695-0.38851880634928i</v>
      </c>
      <c r="AE52" s="10" t="str">
        <f t="shared" si="1"/>
        <v>0.999999955583669-0.000580179953336645i</v>
      </c>
      <c r="AF52" s="10" t="str">
        <f t="shared" si="9"/>
        <v>14.2180568194082-6.80053784085154i</v>
      </c>
      <c r="AG52" s="10">
        <f t="shared" si="10"/>
        <v>15.760725067228785</v>
      </c>
      <c r="AH52" s="10">
        <f t="shared" si="2"/>
        <v>-0.44613975650960419</v>
      </c>
      <c r="AI52" s="10">
        <f t="shared" si="3"/>
        <v>-25.561925120994516</v>
      </c>
      <c r="AJ52" s="10">
        <f t="shared" si="4"/>
        <v>23.951523863899524</v>
      </c>
      <c r="AL52" s="10" t="str">
        <f t="shared" si="5"/>
        <v>0.0336223596041013-0.161042055409295i</v>
      </c>
      <c r="AM52" s="10" t="str">
        <f t="shared" si="6"/>
        <v>0.999999507445106-0.000693116198504205i</v>
      </c>
      <c r="AN52" s="10" t="str">
        <f t="shared" si="11"/>
        <v>-14.4766319843515+69.5802010849845i</v>
      </c>
      <c r="AO52" s="10">
        <f t="shared" si="12"/>
        <v>71.070227638844855</v>
      </c>
      <c r="AP52" s="10">
        <f t="shared" si="13"/>
        <v>1.7759266435672778</v>
      </c>
      <c r="AQ52" s="10">
        <f t="shared" si="14"/>
        <v>101.75310140123908</v>
      </c>
      <c r="AR52" s="10">
        <f t="shared" si="15"/>
        <v>37.03375412990831</v>
      </c>
      <c r="AS52" s="10">
        <f t="shared" si="16"/>
        <v>60.985277993807834</v>
      </c>
      <c r="AT52" s="10">
        <f t="shared" si="17"/>
        <v>76.191176280244562</v>
      </c>
    </row>
    <row r="53" spans="25:46" x14ac:dyDescent="0.25">
      <c r="Y53" s="10">
        <v>51</v>
      </c>
      <c r="Z53" s="10">
        <f t="shared" si="7"/>
        <v>33.884415613920254</v>
      </c>
      <c r="AA53" s="10" t="str">
        <f t="shared" si="8"/>
        <v>212.90206232775i</v>
      </c>
      <c r="AB53" s="10">
        <f>$T$6/'5. Current Sense Resistor'!$B$11</f>
        <v>100</v>
      </c>
      <c r="AD53" s="10" t="str">
        <f t="shared" si="0"/>
        <v>0.791648268529054-0.40506652845074i</v>
      </c>
      <c r="AE53" s="10" t="str">
        <f t="shared" si="1"/>
        <v>0.999999949003229-0.000621674020292066i</v>
      </c>
      <c r="AF53" s="10" t="str">
        <f t="shared" si="9"/>
        <v>13.8356015528028-7.09018627544421i</v>
      </c>
      <c r="AG53" s="10">
        <f t="shared" si="10"/>
        <v>15.546530537339084</v>
      </c>
      <c r="AH53" s="10">
        <f t="shared" si="2"/>
        <v>-0.47356550065394837</v>
      </c>
      <c r="AI53" s="10">
        <f t="shared" si="3"/>
        <v>-27.133304510471071</v>
      </c>
      <c r="AJ53" s="10">
        <f t="shared" si="4"/>
        <v>23.83266968512681</v>
      </c>
      <c r="AL53" s="10" t="str">
        <f t="shared" si="5"/>
        <v>0.0302412077028439-0.150819035051654i</v>
      </c>
      <c r="AM53" s="10" t="str">
        <f t="shared" si="6"/>
        <v>0.999999434471357-0.000742687331903374i</v>
      </c>
      <c r="AN53" s="10" t="str">
        <f t="shared" si="11"/>
        <v>-13.0158054203754+65.1634889130859i</v>
      </c>
      <c r="AO53" s="10">
        <f t="shared" si="12"/>
        <v>66.4506695080414</v>
      </c>
      <c r="AP53" s="10">
        <f t="shared" si="13"/>
        <v>1.7679426141502301</v>
      </c>
      <c r="AQ53" s="10">
        <f t="shared" si="14"/>
        <v>101.29565021213396</v>
      </c>
      <c r="AR53" s="10">
        <f t="shared" si="15"/>
        <v>36.449987218647458</v>
      </c>
      <c r="AS53" s="10">
        <f t="shared" si="16"/>
        <v>60.282656903774267</v>
      </c>
      <c r="AT53" s="10">
        <f t="shared" si="17"/>
        <v>74.1623457016629</v>
      </c>
    </row>
    <row r="54" spans="25:46" x14ac:dyDescent="0.25">
      <c r="Y54" s="10">
        <v>52</v>
      </c>
      <c r="Z54" s="10">
        <f t="shared" si="7"/>
        <v>36.307805477010106</v>
      </c>
      <c r="AA54" s="10" t="str">
        <f t="shared" si="8"/>
        <v>228.128669909084i</v>
      </c>
      <c r="AB54" s="10">
        <f>$T$6/'5. Current Sense Resistor'!$B$11</f>
        <v>100</v>
      </c>
      <c r="AD54" s="10" t="str">
        <f t="shared" si="0"/>
        <v>0.767972221866239-0.420987523651097i</v>
      </c>
      <c r="AE54" s="10" t="str">
        <f t="shared" si="1"/>
        <v>0.999999941447872-0.000666135714036961i</v>
      </c>
      <c r="AF54" s="10" t="str">
        <f t="shared" si="9"/>
        <v>13.4211843020133-7.36886490779292i</v>
      </c>
      <c r="AG54" s="10">
        <f t="shared" si="10"/>
        <v>15.311053461402002</v>
      </c>
      <c r="AH54" s="10">
        <f t="shared" si="2"/>
        <v>-0.50211147165082348</v>
      </c>
      <c r="AI54" s="10">
        <f t="shared" si="3"/>
        <v>-28.768868170694869</v>
      </c>
      <c r="AJ54" s="10">
        <f t="shared" si="4"/>
        <v>23.700101458294533</v>
      </c>
      <c r="AL54" s="10" t="str">
        <f t="shared" si="5"/>
        <v>0.0272770112089143-0.141182741846628i</v>
      </c>
      <c r="AM54" s="10" t="str">
        <f t="shared" si="6"/>
        <v>0.999999350686296-0.000795803745527808i</v>
      </c>
      <c r="AN54" s="10" t="str">
        <f t="shared" si="11"/>
        <v>-11.7351243688946+61.0002823632879i</v>
      </c>
      <c r="AO54" s="10">
        <f t="shared" si="12"/>
        <v>62.118818343190313</v>
      </c>
      <c r="AP54" s="10">
        <f t="shared" si="13"/>
        <v>1.7608526045798318</v>
      </c>
      <c r="AQ54" s="10">
        <f t="shared" si="14"/>
        <v>100.88942258704277</v>
      </c>
      <c r="AR54" s="10">
        <f t="shared" si="15"/>
        <v>35.864463715144261</v>
      </c>
      <c r="AS54" s="10">
        <f t="shared" si="16"/>
        <v>59.564565173438794</v>
      </c>
      <c r="AT54" s="10">
        <f t="shared" si="17"/>
        <v>72.1205544163479</v>
      </c>
    </row>
    <row r="55" spans="25:46" x14ac:dyDescent="0.25">
      <c r="Y55" s="10">
        <v>53</v>
      </c>
      <c r="Z55" s="10">
        <f t="shared" si="7"/>
        <v>38.904514499428039</v>
      </c>
      <c r="AA55" s="10" t="str">
        <f t="shared" si="8"/>
        <v>244.444273885761i</v>
      </c>
      <c r="AB55" s="10">
        <f>$T$6/'5. Current Sense Resistor'!$B$11</f>
        <v>100</v>
      </c>
      <c r="AD55" s="10" t="str">
        <f t="shared" si="0"/>
        <v>0.74248551420856-0.436044595601727i</v>
      </c>
      <c r="AE55" s="10" t="str">
        <f t="shared" si="1"/>
        <v>0.999999932773162-0.000713777277165854i</v>
      </c>
      <c r="AF55" s="10" t="str">
        <f t="shared" si="9"/>
        <v>12.9750738735915-7.63242195063802i</v>
      </c>
      <c r="AG55" s="10">
        <f t="shared" si="10"/>
        <v>15.053451659261997</v>
      </c>
      <c r="AH55" s="10">
        <f t="shared" si="2"/>
        <v>-0.53172553045933035</v>
      </c>
      <c r="AI55" s="10">
        <f t="shared" si="3"/>
        <v>-30.465628754674533</v>
      </c>
      <c r="AJ55" s="10">
        <f t="shared" si="4"/>
        <v>23.552721845372062</v>
      </c>
      <c r="AL55" s="10" t="str">
        <f t="shared" si="5"/>
        <v>0.0246805001855814-0.132111109314788i</v>
      </c>
      <c r="AM55" s="10" t="str">
        <f t="shared" si="6"/>
        <v>0.999999254488193-0.000852718992409742i</v>
      </c>
      <c r="AN55" s="10" t="str">
        <f t="shared" si="11"/>
        <v>-10.613301753869+57.0810483456393i</v>
      </c>
      <c r="AO55" s="10">
        <f t="shared" si="12"/>
        <v>58.059351136194159</v>
      </c>
      <c r="AP55" s="10">
        <f t="shared" si="13"/>
        <v>1.7546309338898216</v>
      </c>
      <c r="AQ55" s="10">
        <f t="shared" si="14"/>
        <v>100.53294711498495</v>
      </c>
      <c r="AR55" s="10">
        <f t="shared" si="15"/>
        <v>35.277443558075319</v>
      </c>
      <c r="AS55" s="10">
        <f t="shared" si="16"/>
        <v>58.830165403447381</v>
      </c>
      <c r="AT55" s="10">
        <f t="shared" si="17"/>
        <v>70.067318360310423</v>
      </c>
    </row>
    <row r="56" spans="25:46" x14ac:dyDescent="0.25">
      <c r="Y56" s="10">
        <v>54</v>
      </c>
      <c r="Z56" s="10">
        <f t="shared" si="7"/>
        <v>41.686938347033525</v>
      </c>
      <c r="AA56" s="10" t="str">
        <f t="shared" si="8"/>
        <v>261.926758523382i</v>
      </c>
      <c r="AB56" s="10">
        <f>$T$6/'5. Current Sense Resistor'!$B$11</f>
        <v>100</v>
      </c>
      <c r="AD56" s="10" t="str">
        <f t="shared" si="0"/>
        <v>0.715242932096796-0.449990926059733i</v>
      </c>
      <c r="AE56" s="10" t="str">
        <f t="shared" si="1"/>
        <v>0.999999922813262-0.000764826131713482i</v>
      </c>
      <c r="AF56" s="10" t="str">
        <f t="shared" si="9"/>
        <v>12.4982292319973-7.87653719949987i</v>
      </c>
      <c r="AG56" s="10">
        <f t="shared" si="10"/>
        <v>14.773136843292864</v>
      </c>
      <c r="AH56" s="10">
        <f t="shared" si="2"/>
        <v>-0.56233867490269585</v>
      </c>
      <c r="AI56" s="10">
        <f t="shared" si="3"/>
        <v>-32.21963272890374</v>
      </c>
      <c r="AJ56" s="10">
        <f t="shared" si="4"/>
        <v>23.389454414146229</v>
      </c>
      <c r="AL56" s="10" t="str">
        <f t="shared" si="5"/>
        <v>0.0224077130777857-0.123580571246863i</v>
      </c>
      <c r="AM56" s="10" t="str">
        <f t="shared" si="6"/>
        <v>0.999999144038016-0.000913704758839667i</v>
      </c>
      <c r="AN56" s="10" t="str">
        <f t="shared" si="11"/>
        <v>-9.63134398436549+53.3956058642877i</v>
      </c>
      <c r="AO56" s="10">
        <f t="shared" si="12"/>
        <v>54.257289948536211</v>
      </c>
      <c r="AP56" s="10">
        <f t="shared" si="13"/>
        <v>1.7492544963453789</v>
      </c>
      <c r="AQ56" s="10">
        <f t="shared" si="14"/>
        <v>100.2248999348727</v>
      </c>
      <c r="AR56" s="10">
        <f t="shared" si="15"/>
        <v>34.6891619551944</v>
      </c>
      <c r="AS56" s="10">
        <f t="shared" si="16"/>
        <v>58.078616369340629</v>
      </c>
      <c r="AT56" s="10">
        <f t="shared" si="17"/>
        <v>68.005267205968948</v>
      </c>
    </row>
    <row r="57" spans="25:46" x14ac:dyDescent="0.25">
      <c r="Y57" s="10">
        <v>55</v>
      </c>
      <c r="Z57" s="10">
        <f t="shared" si="7"/>
        <v>44.668359215096302</v>
      </c>
      <c r="AA57" s="10" t="str">
        <f t="shared" si="8"/>
        <v>280.659578316113i</v>
      </c>
      <c r="AB57" s="10">
        <f>$T$6/'5. Current Sense Resistor'!$B$11</f>
        <v>100</v>
      </c>
      <c r="AD57" s="10" t="str">
        <f t="shared" si="0"/>
        <v>0.686342650630489-0.462577720902266i</v>
      </c>
      <c r="AE57" s="10" t="str">
        <f t="shared" si="1"/>
        <v>0.999999911377767-0.000819525964777201i</v>
      </c>
      <c r="AF57" s="10" t="str">
        <f t="shared" si="9"/>
        <v>11.9923687998648-8.0968558659182i</v>
      </c>
      <c r="AG57" s="10">
        <f t="shared" si="10"/>
        <v>14.469830142245094</v>
      </c>
      <c r="AH57" s="10">
        <f t="shared" ref="AH57:AH120" si="18">IMARGUMENT(AF57)</f>
        <v>-0.59386462576344978</v>
      </c>
      <c r="AI57" s="10">
        <f t="shared" ref="AI57:AI120" si="19">AH57/(PI())*180</f>
        <v>-34.025936658361765</v>
      </c>
      <c r="AJ57" s="10">
        <f t="shared" ref="AJ57:AJ120" si="20">20*LOG(AG57,10)</f>
        <v>23.2092686614704</v>
      </c>
      <c r="AL57" s="10" t="str">
        <f t="shared" si="5"/>
        <v>0.020419550207305-0.115566654446764i</v>
      </c>
      <c r="AM57" s="10" t="str">
        <f t="shared" si="6"/>
        <v>0.999999017224275-0.000979052161088131i</v>
      </c>
      <c r="AN57" s="10" t="str">
        <f t="shared" si="11"/>
        <v>-8.77235804208615+49.9333821157816i</v>
      </c>
      <c r="AO57" s="10">
        <f t="shared" si="12"/>
        <v>50.698095774291275</v>
      </c>
      <c r="AP57" s="10">
        <f t="shared" si="13"/>
        <v>1.7447029050142737</v>
      </c>
      <c r="AQ57" s="10">
        <f t="shared" si="14"/>
        <v>99.964112961532038</v>
      </c>
      <c r="AR57" s="10">
        <f t="shared" si="15"/>
        <v>34.099832949882334</v>
      </c>
      <c r="AS57" s="10">
        <f t="shared" si="16"/>
        <v>57.30910161135273</v>
      </c>
      <c r="AT57" s="10">
        <f t="shared" si="17"/>
        <v>65.93817630317028</v>
      </c>
    </row>
    <row r="58" spans="25:46" x14ac:dyDescent="0.25">
      <c r="Y58" s="10">
        <v>56</v>
      </c>
      <c r="Z58" s="10">
        <f t="shared" si="7"/>
        <v>47.863009232263813</v>
      </c>
      <c r="AA58" s="10" t="str">
        <f t="shared" si="8"/>
        <v>300.732156365561i</v>
      </c>
      <c r="AB58" s="10">
        <f>$T$6/'5. Current Sense Resistor'!$B$11</f>
        <v>100</v>
      </c>
      <c r="AD58" s="10" t="str">
        <f t="shared" si="0"/>
        <v>0.655928456340936-0.473563258187363i</v>
      </c>
      <c r="AE58" s="10" t="str">
        <f t="shared" si="1"/>
        <v>0.999999898248063-0.000878137891782196i</v>
      </c>
      <c r="AF58" s="10" t="str">
        <f t="shared" si="9"/>
        <v>11.4600093663947-8.28914695162929i</v>
      </c>
      <c r="AG58" s="10">
        <f t="shared" si="10"/>
        <v>14.143612405024376</v>
      </c>
      <c r="AH58" s="10">
        <f t="shared" si="18"/>
        <v>-0.62619999370514634</v>
      </c>
      <c r="AI58" s="10">
        <f t="shared" si="19"/>
        <v>-35.878616770423605</v>
      </c>
      <c r="AJ58" s="10">
        <f t="shared" si="20"/>
        <v>23.011206926420694</v>
      </c>
      <c r="AL58" s="10" t="str">
        <f t="shared" si="5"/>
        <v>0.0186813321662454-0.108044457350626i</v>
      </c>
      <c r="AM58" s="10" t="str">
        <f t="shared" si="6"/>
        <v>0.999998871622661-0.00104907313483223i</v>
      </c>
      <c r="AN58" s="10" t="str">
        <f t="shared" si="11"/>
        <v>-8.02136068520232+46.6836192803839i</v>
      </c>
      <c r="AO58" s="10">
        <f t="shared" si="12"/>
        <v>47.367737294047949</v>
      </c>
      <c r="AP58" s="10">
        <f t="shared" si="13"/>
        <v>1.7409586002935018</v>
      </c>
      <c r="AQ58" s="10">
        <f t="shared" si="14"/>
        <v>99.749580103820904</v>
      </c>
      <c r="AR58" s="10">
        <f t="shared" si="15"/>
        <v>33.509652788846836</v>
      </c>
      <c r="AS58" s="10">
        <f t="shared" si="16"/>
        <v>56.520859715267534</v>
      </c>
      <c r="AT58" s="10">
        <f t="shared" si="17"/>
        <v>63.870963333397299</v>
      </c>
    </row>
    <row r="59" spans="25:46" x14ac:dyDescent="0.25">
      <c r="Y59" s="10">
        <v>57</v>
      </c>
      <c r="Z59" s="10">
        <f t="shared" si="7"/>
        <v>51.286138399136469</v>
      </c>
      <c r="AA59" s="10" t="str">
        <f t="shared" si="8"/>
        <v>322.240311251433i</v>
      </c>
      <c r="AB59" s="10">
        <f>$T$6/'5. Current Sense Resistor'!$B$11</f>
        <v>100</v>
      </c>
      <c r="AD59" s="10" t="str">
        <f t="shared" si="0"/>
        <v>0.62418973021417-0.482722884462667i</v>
      </c>
      <c r="AE59" s="10" t="str">
        <f t="shared" si="1"/>
        <v>0.999999883173145-0.000940941702942444i</v>
      </c>
      <c r="AF59" s="10" t="str">
        <f t="shared" si="9"/>
        <v>10.9044657901939-8.44947822054856i</v>
      </c>
      <c r="AG59" s="10">
        <f t="shared" si="10"/>
        <v>13.794964891910148</v>
      </c>
      <c r="AH59" s="10">
        <f t="shared" si="18"/>
        <v>-0.65922510970852988</v>
      </c>
      <c r="AI59" s="10">
        <f t="shared" si="19"/>
        <v>-37.770816535347436</v>
      </c>
      <c r="AJ59" s="10">
        <f t="shared" si="20"/>
        <v>22.794411990803404</v>
      </c>
      <c r="AL59" s="10" t="str">
        <f t="shared" si="5"/>
        <v>0.0171623736310723-0.100989031299146i</v>
      </c>
      <c r="AM59" s="10" t="str">
        <f t="shared" si="6"/>
        <v>0.999998704449694-0.00112410192390863i</v>
      </c>
      <c r="AN59" s="10" t="str">
        <f t="shared" si="11"/>
        <v>-7.365094314614+43.635539255037i</v>
      </c>
      <c r="AO59" s="10">
        <f t="shared" si="12"/>
        <v>44.252738902140678</v>
      </c>
      <c r="AP59" s="10">
        <f t="shared" si="13"/>
        <v>1.7380069303920438</v>
      </c>
      <c r="AQ59" s="10">
        <f t="shared" si="14"/>
        <v>99.580461875951556</v>
      </c>
      <c r="AR59" s="10">
        <f t="shared" si="15"/>
        <v>32.918803106677011</v>
      </c>
      <c r="AS59" s="10">
        <f t="shared" si="16"/>
        <v>55.713215097480415</v>
      </c>
      <c r="AT59" s="10">
        <f t="shared" si="17"/>
        <v>61.809645340604121</v>
      </c>
    </row>
    <row r="60" spans="25:46" x14ac:dyDescent="0.25">
      <c r="Y60" s="10">
        <v>58</v>
      </c>
      <c r="Z60" s="10">
        <f t="shared" si="7"/>
        <v>54.95408738576247</v>
      </c>
      <c r="AA60" s="10" t="str">
        <f t="shared" si="8"/>
        <v>345.286714431686i</v>
      </c>
      <c r="AB60" s="10">
        <f>$T$6/'5. Current Sense Resistor'!$B$11</f>
        <v>100</v>
      </c>
      <c r="AD60" s="10" t="str">
        <f t="shared" si="0"/>
        <v>0.591358824753588-0.489859312470709i</v>
      </c>
      <c r="AE60" s="10" t="str">
        <f t="shared" si="1"/>
        <v>0.999999865864823-0.00100823719886749i</v>
      </c>
      <c r="AF60" s="10" t="str">
        <f t="shared" si="9"/>
        <v>10.3298050882959-8.57439644629963i</v>
      </c>
      <c r="AG60" s="10">
        <f t="shared" si="10"/>
        <v>13.42479599772375</v>
      </c>
      <c r="AH60" s="10">
        <f t="shared" si="18"/>
        <v>-0.69280556336383048</v>
      </c>
      <c r="AI60" s="10">
        <f t="shared" si="19"/>
        <v>-39.694834803930817</v>
      </c>
      <c r="AJ60" s="10">
        <f t="shared" si="20"/>
        <v>22.55815389825343</v>
      </c>
      <c r="AL60" s="10" t="str">
        <f t="shared" si="5"/>
        <v>0.0158355795717541-0.0943756796749736i</v>
      </c>
      <c r="AM60" s="10" t="str">
        <f t="shared" si="6"/>
        <v>0.999998512509517-0.00120449667548674i</v>
      </c>
      <c r="AN60" s="10" t="str">
        <f t="shared" si="11"/>
        <v>-6.79185251599603+40.7784729002386i</v>
      </c>
      <c r="AO60" s="10">
        <f t="shared" si="12"/>
        <v>41.34021181216341</v>
      </c>
      <c r="AP60" s="10">
        <f t="shared" si="13"/>
        <v>1.735836209524461</v>
      </c>
      <c r="AQ60" s="10">
        <f t="shared" si="14"/>
        <v>99.456088731738092</v>
      </c>
      <c r="AR60" s="10">
        <f t="shared" si="15"/>
        <v>32.327453949269078</v>
      </c>
      <c r="AS60" s="10">
        <f t="shared" si="16"/>
        <v>54.885607847522508</v>
      </c>
      <c r="AT60" s="10">
        <f t="shared" si="17"/>
        <v>59.761253927807275</v>
      </c>
    </row>
    <row r="61" spans="25:46" x14ac:dyDescent="0.25">
      <c r="Y61" s="10">
        <v>59</v>
      </c>
      <c r="Z61" s="10">
        <f t="shared" si="7"/>
        <v>58.884365535558892</v>
      </c>
      <c r="AA61" s="10" t="str">
        <f t="shared" si="8"/>
        <v>369.981380355616i</v>
      </c>
      <c r="AB61" s="10">
        <f>$T$6/'5. Current Sense Resistor'!$B$11</f>
        <v>100</v>
      </c>
      <c r="AD61" s="10" t="str">
        <f t="shared" si="0"/>
        <v>0.557705686274173-0.494812429023921i</v>
      </c>
      <c r="AE61" s="10" t="str">
        <f t="shared" si="1"/>
        <v>0.999999845992211-0.00108034562169062i</v>
      </c>
      <c r="AF61" s="10" t="str">
        <f t="shared" si="9"/>
        <v>9.74075230667656-8.66109908593201i</v>
      </c>
      <c r="AG61" s="10">
        <f t="shared" si="10"/>
        <v>13.034450232992453</v>
      </c>
      <c r="AH61" s="10">
        <f t="shared" si="18"/>
        <v>-0.7267944430938168</v>
      </c>
      <c r="AI61" s="10">
        <f t="shared" si="19"/>
        <v>-41.642254162836785</v>
      </c>
      <c r="AJ61" s="10">
        <f t="shared" si="20"/>
        <v>22.301854364382518</v>
      </c>
      <c r="AL61" s="10" t="str">
        <f t="shared" si="5"/>
        <v>0.0146770681112926-0.0881801884168109i</v>
      </c>
      <c r="AM61" s="10" t="str">
        <f t="shared" si="6"/>
        <v>0.999998292132801-0.00129064114926058i</v>
      </c>
      <c r="AN61" s="10" t="str">
        <f t="shared" si="11"/>
        <v>-6.29131711611849+38.1019596385598i</v>
      </c>
      <c r="AO61" s="10">
        <f t="shared" si="12"/>
        <v>38.617871502116799</v>
      </c>
      <c r="AP61" s="10">
        <f t="shared" si="13"/>
        <v>1.7344377584069146</v>
      </c>
      <c r="AQ61" s="10">
        <f t="shared" si="14"/>
        <v>99.375963384847324</v>
      </c>
      <c r="AR61" s="10">
        <f t="shared" si="15"/>
        <v>31.735766662632482</v>
      </c>
      <c r="AS61" s="10">
        <f t="shared" si="16"/>
        <v>54.037621027015</v>
      </c>
      <c r="AT61" s="10">
        <f t="shared" si="17"/>
        <v>57.733709222010539</v>
      </c>
    </row>
    <row r="62" spans="25:46" x14ac:dyDescent="0.25">
      <c r="Y62" s="10">
        <v>60</v>
      </c>
      <c r="Z62" s="10">
        <f t="shared" si="7"/>
        <v>63.095734448019307</v>
      </c>
      <c r="AA62" s="10" t="str">
        <f t="shared" si="8"/>
        <v>396.4421916295i</v>
      </c>
      <c r="AB62" s="10">
        <f>$T$6/'5. Current Sense Resistor'!$B$11</f>
        <v>100</v>
      </c>
      <c r="AD62" s="10" t="str">
        <f t="shared" si="0"/>
        <v>0.523529850373621-0.497467761813578i</v>
      </c>
      <c r="AE62" s="10" t="str">
        <f t="shared" si="1"/>
        <v>0.999999823175399-0.00115761118854997i</v>
      </c>
      <c r="AF62" s="10" t="str">
        <f t="shared" si="9"/>
        <v>9.14255041177702-8.70758248009392i</v>
      </c>
      <c r="AG62" s="10">
        <f t="shared" si="10"/>
        <v>12.625696839363867</v>
      </c>
      <c r="AH62" s="10">
        <f t="shared" si="18"/>
        <v>-0.76103521483938563</v>
      </c>
      <c r="AI62" s="10">
        <f t="shared" si="19"/>
        <v>-43.604105871128674</v>
      </c>
      <c r="AJ62" s="10">
        <f t="shared" si="20"/>
        <v>22.025107141974534</v>
      </c>
      <c r="AL62" s="10" t="str">
        <f t="shared" si="5"/>
        <v>0.0136658222521574-0.0823789997177495i</v>
      </c>
      <c r="AM62" s="10" t="str">
        <f t="shared" si="6"/>
        <v>0.999998039106599-0.00138294654879844i</v>
      </c>
      <c r="AN62" s="10" t="str">
        <f t="shared" si="11"/>
        <v>-5.85440771108411+35.5958225062701i</v>
      </c>
      <c r="AO62" s="10">
        <f t="shared" si="12"/>
        <v>36.074044263784543</v>
      </c>
      <c r="AP62" s="10">
        <f t="shared" si="13"/>
        <v>1.7338059305651909</v>
      </c>
      <c r="AQ62" s="10">
        <f t="shared" si="14"/>
        <v>99.339762316137708</v>
      </c>
      <c r="AR62" s="10">
        <f t="shared" si="15"/>
        <v>31.143896676689501</v>
      </c>
      <c r="AS62" s="10">
        <f t="shared" si="16"/>
        <v>53.169003818664038</v>
      </c>
      <c r="AT62" s="10">
        <f t="shared" si="17"/>
        <v>55.735656445009035</v>
      </c>
    </row>
    <row r="63" spans="25:46" x14ac:dyDescent="0.25">
      <c r="Y63" s="10">
        <v>61</v>
      </c>
      <c r="Z63" s="10">
        <f t="shared" si="7"/>
        <v>67.608297539198134</v>
      </c>
      <c r="AA63" s="10" t="str">
        <f t="shared" si="8"/>
        <v>424.795461741715i</v>
      </c>
      <c r="AB63" s="10">
        <f>$T$6/'5. Current Sense Resistor'!$B$11</f>
        <v>100</v>
      </c>
      <c r="AD63" s="10" t="str">
        <f t="shared" si="0"/>
        <v>0.489150237206639-0.49776280379971i</v>
      </c>
      <c r="AE63" s="10" t="str">
        <f t="shared" si="1"/>
        <v>0.999999796978194-0.0012404027347428i</v>
      </c>
      <c r="AF63" s="10" t="str">
        <f t="shared" si="9"/>
        <v>8.54078167054874-8.71275255305835i</v>
      </c>
      <c r="AG63" s="10">
        <f t="shared" si="10"/>
        <v>12.200697053644358</v>
      </c>
      <c r="AH63" s="10">
        <f t="shared" si="18"/>
        <v>-0.79536511774452867</v>
      </c>
      <c r="AI63" s="10">
        <f t="shared" si="19"/>
        <v>-45.571064418687278</v>
      </c>
      <c r="AJ63" s="10">
        <f t="shared" si="20"/>
        <v>21.727692872353064</v>
      </c>
      <c r="AL63" s="10" t="str">
        <f t="shared" si="5"/>
        <v>0.0127833711946671-0.076949339090158i</v>
      </c>
      <c r="AM63" s="10" t="str">
        <f t="shared" si="6"/>
        <v>0.999997748593811-0.00148185348376803i</v>
      </c>
      <c r="AN63" s="10" t="str">
        <f t="shared" si="11"/>
        <v>-5.47314397973352+33.2502230573621i</v>
      </c>
      <c r="AO63" s="10">
        <f t="shared" si="12"/>
        <v>33.697665177089462</v>
      </c>
      <c r="AP63" s="10">
        <f t="shared" si="13"/>
        <v>1.7339381269531955</v>
      </c>
      <c r="AQ63" s="10">
        <f t="shared" si="14"/>
        <v>99.347336611237225</v>
      </c>
      <c r="AR63" s="10">
        <f t="shared" si="15"/>
        <v>30.551996215744765</v>
      </c>
      <c r="AS63" s="10">
        <f t="shared" si="16"/>
        <v>52.279689088097825</v>
      </c>
      <c r="AT63" s="10">
        <f t="shared" si="17"/>
        <v>53.776272192549946</v>
      </c>
    </row>
    <row r="64" spans="25:46" x14ac:dyDescent="0.25">
      <c r="Y64" s="10">
        <v>62</v>
      </c>
      <c r="Z64" s="10">
        <f t="shared" si="7"/>
        <v>72.443596007499011</v>
      </c>
      <c r="AA64" s="10" t="str">
        <f t="shared" si="8"/>
        <v>455.176538033571i</v>
      </c>
      <c r="AB64" s="10">
        <f>$T$6/'5. Current Sense Resistor'!$B$11</f>
        <v>100</v>
      </c>
      <c r="AD64" s="10" t="str">
        <f t="shared" si="0"/>
        <v>0.454893445064972-0.495690560299631i</v>
      </c>
      <c r="AE64" s="10" t="str">
        <f t="shared" si="1"/>
        <v>0.999999766899777-0.00132911547439648i</v>
      </c>
      <c r="AF64" s="10" t="str">
        <f t="shared" si="9"/>
        <v>7.94116274536717-8.6764868998442i</v>
      </c>
      <c r="AG64" s="10">
        <f t="shared" si="10"/>
        <v>11.761950972163396</v>
      </c>
      <c r="AH64" s="10">
        <f t="shared" si="18"/>
        <v>-0.82961890491343537</v>
      </c>
      <c r="AI64" s="10">
        <f t="shared" si="19"/>
        <v>-47.533661855805001</v>
      </c>
      <c r="AJ64" s="10">
        <f t="shared" si="20"/>
        <v>21.4095872956355</v>
      </c>
      <c r="AL64" s="10" t="str">
        <f t="shared" si="5"/>
        <v>0.0120135009127048-0.071869304481152i</v>
      </c>
      <c r="AM64" s="10" t="str">
        <f t="shared" si="6"/>
        <v>0.999997415040715-0.00158783407237387i</v>
      </c>
      <c r="AN64" s="10" t="str">
        <f t="shared" si="11"/>
        <v>-5.14052063764463+31.0556998719376i</v>
      </c>
      <c r="AO64" s="10">
        <f t="shared" si="12"/>
        <v>31.47826944039198</v>
      </c>
      <c r="AP64" s="10">
        <f t="shared" si="13"/>
        <v>1.7348348004245124</v>
      </c>
      <c r="AQ64" s="10">
        <f t="shared" si="14"/>
        <v>99.398712216745039</v>
      </c>
      <c r="AR64" s="10">
        <f t="shared" si="15"/>
        <v>29.960216968564339</v>
      </c>
      <c r="AS64" s="10">
        <f t="shared" si="16"/>
        <v>51.369804264199843</v>
      </c>
      <c r="AT64" s="10">
        <f t="shared" si="17"/>
        <v>51.865050360940039</v>
      </c>
    </row>
    <row r="65" spans="25:46" x14ac:dyDescent="0.25">
      <c r="Y65" s="10">
        <v>63</v>
      </c>
      <c r="Z65" s="10">
        <f t="shared" si="7"/>
        <v>77.624711662869146</v>
      </c>
      <c r="AA65" s="10" t="str">
        <f t="shared" si="8"/>
        <v>487.730447794191i</v>
      </c>
      <c r="AB65" s="10">
        <f>$T$6/'5. Current Sense Resistor'!$B$11</f>
        <v>100</v>
      </c>
      <c r="AD65" s="10" t="str">
        <f t="shared" si="0"/>
        <v>0.421081436337816-0.491299949993263i</v>
      </c>
      <c r="AE65" s="10" t="str">
        <f t="shared" si="1"/>
        <v>0.999999732365135-0.00142417288706086i</v>
      </c>
      <c r="AF65" s="10" t="str">
        <f t="shared" si="9"/>
        <v>7.3493291533837-8.59964180540462i</v>
      </c>
      <c r="AG65" s="10">
        <f t="shared" si="10"/>
        <v>11.312226933103773</v>
      </c>
      <c r="AH65" s="10">
        <f t="shared" si="18"/>
        <v>-0.86363272201857122</v>
      </c>
      <c r="AI65" s="10">
        <f t="shared" si="19"/>
        <v>-49.48251002105917</v>
      </c>
      <c r="AJ65" s="10">
        <f t="shared" si="20"/>
        <v>21.07096217729935</v>
      </c>
      <c r="AL65" s="10" t="str">
        <f t="shared" si="5"/>
        <v>0.0113419929272893-0.0671179247753027i</v>
      </c>
      <c r="AM65" s="10" t="str">
        <f t="shared" si="6"/>
        <v>0.999997032070801-0.00170139419400608i</v>
      </c>
      <c r="AN65" s="10" t="str">
        <f t="shared" si="11"/>
        <v>-4.85039457397334+29.0031938387866i</v>
      </c>
      <c r="AO65" s="10">
        <f t="shared" si="12"/>
        <v>29.405978650156484</v>
      </c>
      <c r="AP65" s="10">
        <f t="shared" si="13"/>
        <v>1.7364994506800018</v>
      </c>
      <c r="AQ65" s="10">
        <f t="shared" si="14"/>
        <v>99.494089650749956</v>
      </c>
      <c r="AR65" s="10">
        <f t="shared" si="15"/>
        <v>29.368712751646065</v>
      </c>
      <c r="AS65" s="10">
        <f t="shared" si="16"/>
        <v>50.439674928945415</v>
      </c>
      <c r="AT65" s="10">
        <f t="shared" si="17"/>
        <v>50.011579629690786</v>
      </c>
    </row>
    <row r="66" spans="25:46" x14ac:dyDescent="0.25">
      <c r="Y66" s="10">
        <v>64</v>
      </c>
      <c r="Z66" s="10">
        <f t="shared" si="7"/>
        <v>83.176377110267055</v>
      </c>
      <c r="AA66" s="10" t="str">
        <f t="shared" si="8"/>
        <v>522.612590563658i</v>
      </c>
      <c r="AB66" s="10">
        <f>$T$6/'5. Current Sense Resistor'!$B$11</f>
        <v>100</v>
      </c>
      <c r="AD66" s="10" t="str">
        <f t="shared" ref="AD66:AD129" si="21">IMDIV(IMSUM(1,IMDIV(AA66,$W$3)),IMSUM(1,IMDIV(AA66,$W$5)))</f>
        <v>0.388019591199697-0.484693017599141i</v>
      </c>
      <c r="AE66" s="10" t="str">
        <f t="shared" ref="AE66:AE129" si="22">IMDIV(IMSUM(1,IMDIV(IMPRODUCT(-1,AA66),$W$4)),IMSUM(1,IMDIV(AA66,$W$1*$W$2),IMDIV(IMPOWER(AA66,2),$W$1^2)))</f>
        <v>0.999999692714061-0.0015260287392276i</v>
      </c>
      <c r="AF66" s="10" t="str">
        <f t="shared" si="9"/>
        <v>6.77062616245058-8.48400345642213i</v>
      </c>
      <c r="AG66" s="10">
        <f t="shared" si="10"/>
        <v>10.854478028917047</v>
      </c>
      <c r="AH66" s="10">
        <f t="shared" si="18"/>
        <v>-0.89724790207779581</v>
      </c>
      <c r="AI66" s="10">
        <f t="shared" si="19"/>
        <v>-51.408517966025066</v>
      </c>
      <c r="AJ66" s="10">
        <f t="shared" si="20"/>
        <v>20.712178878035438</v>
      </c>
      <c r="AL66" s="10" t="str">
        <f t="shared" ref="AL66:AL129" si="23">IMDIV(IMSUM(1,IMDIV(AA66,wz1e)),IMSUM(1,IMDIV(AA66,wp1e)))</f>
        <v>0.0107563897487203-0.062675193832073i</v>
      </c>
      <c r="AM66" s="10" t="str">
        <f t="shared" ref="AM66:AM129" si="24">IMDIV(IMSUM(1,IMDIV(AA66,wz2e)),IMSUM(1,IMDIV(AA66,wp2e)))</f>
        <v>0.999996592362878-0.00182307590280823i</v>
      </c>
      <c r="AN66" s="10" t="str">
        <f t="shared" si="11"/>
        <v>-4.59738351040386+27.0840628682098i</v>
      </c>
      <c r="AO66" s="10">
        <f t="shared" si="12"/>
        <v>27.471483334375559</v>
      </c>
      <c r="AP66" s="10">
        <f t="shared" si="13"/>
        <v>1.7389386094099386</v>
      </c>
      <c r="AQ66" s="10">
        <f t="shared" si="14"/>
        <v>99.633843151537832</v>
      </c>
      <c r="AR66" s="10">
        <f t="shared" si="15"/>
        <v>28.77764219936266</v>
      </c>
      <c r="AS66" s="10">
        <f t="shared" si="16"/>
        <v>49.489821077398098</v>
      </c>
      <c r="AT66" s="10">
        <f t="shared" si="17"/>
        <v>48.225325185512766</v>
      </c>
    </row>
    <row r="67" spans="25:46" x14ac:dyDescent="0.25">
      <c r="Y67" s="10">
        <v>65</v>
      </c>
      <c r="Z67" s="10">
        <f t="shared" ref="Z67:Z130" si="25">10^(LOG($F$3/$F$2,10)*Y67/200)</f>
        <v>89.125093813374562</v>
      </c>
      <c r="AA67" s="10" t="str">
        <f t="shared" ref="AA67:AA130" si="26">IMPRODUCT(COMPLEX(0,1),2*PI()*Z67)</f>
        <v>559.989479949197i</v>
      </c>
      <c r="AB67" s="10">
        <f>$T$6/'5. Current Sense Resistor'!$B$11</f>
        <v>100</v>
      </c>
      <c r="AD67" s="10" t="str">
        <f t="shared" si="21"/>
        <v>0.355986055044304-0.476019249545969i</v>
      </c>
      <c r="AE67" s="10" t="str">
        <f t="shared" si="22"/>
        <v>0.999999647188535-0.0016351692504264i</v>
      </c>
      <c r="AF67" s="10" t="str">
        <f t="shared" ref="AF67:AF130" si="27">IMPRODUCT(AB67,AC$2,AD67,AE67)</f>
        <v>6.20992233232297-8.33218844495995i</v>
      </c>
      <c r="AG67" s="10">
        <f t="shared" ref="AG67:AG130" si="28">IMABS(AF67)</f>
        <v>10.391751520114772</v>
      </c>
      <c r="AH67" s="10">
        <f t="shared" si="18"/>
        <v>-0.93031446347967073</v>
      </c>
      <c r="AI67" s="10">
        <f t="shared" si="19"/>
        <v>-53.303092377362688</v>
      </c>
      <c r="AJ67" s="10">
        <f t="shared" si="20"/>
        <v>20.333775073206315</v>
      </c>
      <c r="AL67" s="10" t="str">
        <f t="shared" si="23"/>
        <v>0.0102457851791123-0.0585220851714159i</v>
      </c>
      <c r="AM67" s="10" t="str">
        <f t="shared" si="24"/>
        <v>0.999996087511122-0.00195346001362977i</v>
      </c>
      <c r="AN67" s="10" t="str">
        <f t="shared" ref="AN67:AN130" si="29">IMPRODUCT($AK$2,AL67,AM67)</f>
        <v>-4.3767754009755+25.2900882443797i</v>
      </c>
      <c r="AO67" s="10">
        <f t="shared" ref="AO67:AO130" si="30">IMABS(AN67)</f>
        <v>25.666022799006015</v>
      </c>
      <c r="AP67" s="10">
        <f t="shared" ref="AP67:AP130" si="31">IMARGUMENT(AN67)</f>
        <v>1.7421618144380613</v>
      </c>
      <c r="AQ67" s="10">
        <f t="shared" ref="AQ67:AQ130" si="32">AP67/(PI())*180</f>
        <v>99.818519196154597</v>
      </c>
      <c r="AR67" s="10">
        <f t="shared" ref="AR67:AR130" si="33">20*LOG(AO67,10)</f>
        <v>28.187171514241193</v>
      </c>
      <c r="AS67" s="10">
        <f t="shared" ref="AS67:AS130" si="34">AR67+AJ67</f>
        <v>48.520946587447511</v>
      </c>
      <c r="AT67" s="10">
        <f t="shared" ref="AT67:AT130" si="35">AQ67+AI67</f>
        <v>46.515426818791909</v>
      </c>
    </row>
    <row r="68" spans="25:46" x14ac:dyDescent="0.25">
      <c r="Y68" s="10">
        <v>66</v>
      </c>
      <c r="Z68" s="10">
        <f t="shared" si="25"/>
        <v>95.49925860214357</v>
      </c>
      <c r="AA68" s="10" t="str">
        <f t="shared" si="26"/>
        <v>600.039538495532i</v>
      </c>
      <c r="AB68" s="10">
        <f>$T$6/'5. Current Sense Resistor'!$B$11</f>
        <v>100</v>
      </c>
      <c r="AD68" s="10" t="str">
        <f t="shared" si="21"/>
        <v>0.325223135681144-0.465467569485865i</v>
      </c>
      <c r="AE68" s="10" t="str">
        <f t="shared" si="22"/>
        <v>0.999999594918239-0.00175211541423755i</v>
      </c>
      <c r="AF68" s="10" t="str">
        <f t="shared" si="27"/>
        <v>5.67145893419335-8.14750366088349i</v>
      </c>
      <c r="AG68" s="10">
        <f t="shared" si="28"/>
        <v>9.927097377700667</v>
      </c>
      <c r="AH68" s="10">
        <f t="shared" si="18"/>
        <v>-0.96269412886717098</v>
      </c>
      <c r="AI68" s="10">
        <f t="shared" si="19"/>
        <v>-55.158310546112283</v>
      </c>
      <c r="AJ68" s="10">
        <f t="shared" si="20"/>
        <v>19.936445640351746</v>
      </c>
      <c r="AL68" s="10" t="str">
        <f t="shared" si="23"/>
        <v>0.00980063752830337-0.0546405515324206i</v>
      </c>
      <c r="AM68" s="10" t="str">
        <f t="shared" si="24"/>
        <v>0.999995507864396-0.00209316887263809i</v>
      </c>
      <c r="AN68" s="10" t="str">
        <f t="shared" si="29"/>
        <v>-4.18444773157115+23.6134744426339i</v>
      </c>
      <c r="AO68" s="10">
        <f t="shared" si="30"/>
        <v>23.981363140388321</v>
      </c>
      <c r="AP68" s="10">
        <f t="shared" si="31"/>
        <v>1.7461815707358741</v>
      </c>
      <c r="AQ68" s="10">
        <f t="shared" si="32"/>
        <v>100.04883426669041</v>
      </c>
      <c r="AR68" s="10">
        <f t="shared" si="33"/>
        <v>27.59747730963786</v>
      </c>
      <c r="AS68" s="10">
        <f t="shared" si="34"/>
        <v>47.533922949989602</v>
      </c>
      <c r="AT68" s="10">
        <f t="shared" si="35"/>
        <v>44.890523720578123</v>
      </c>
    </row>
    <row r="69" spans="25:46" x14ac:dyDescent="0.25">
      <c r="Y69" s="10">
        <v>67</v>
      </c>
      <c r="Z69" s="10">
        <f t="shared" si="25"/>
        <v>102.32929922807544</v>
      </c>
      <c r="AA69" s="10" t="str">
        <f t="shared" si="26"/>
        <v>642.953949403827i</v>
      </c>
      <c r="AB69" s="10">
        <f>$T$6/'5. Current Sense Resistor'!$B$11</f>
        <v>100</v>
      </c>
      <c r="AD69" s="10" t="str">
        <f t="shared" si="21"/>
        <v>0.295931249022478-0.453256784261552i</v>
      </c>
      <c r="AE69" s="10" t="str">
        <f t="shared" si="22"/>
        <v>0.999999534903908-0.00187742548530055i</v>
      </c>
      <c r="AF69" s="10" t="str">
        <f t="shared" si="27"/>
        <v>5.15874397810931-7.9337790615805i</v>
      </c>
      <c r="AG69" s="10">
        <f t="shared" si="28"/>
        <v>9.4634818977822448</v>
      </c>
      <c r="AH69" s="10">
        <f t="shared" si="18"/>
        <v>-0.99426272984304886</v>
      </c>
      <c r="AI69" s="10">
        <f t="shared" si="19"/>
        <v>-56.967058147162668</v>
      </c>
      <c r="AJ69" s="10">
        <f t="shared" si="20"/>
        <v>19.521019114448489</v>
      </c>
      <c r="AL69" s="10" t="str">
        <f t="shared" si="23"/>
        <v>0.00941260375773127-0.0510135127738727i</v>
      </c>
      <c r="AM69" s="10" t="str">
        <f t="shared" si="24"/>
        <v>0.999994842341757-0.00224286932573136i</v>
      </c>
      <c r="AN69" s="10" t="str">
        <f t="shared" si="29"/>
        <v>-4.0167958612635+22.0468439104639i</v>
      </c>
      <c r="AO69" s="10">
        <f t="shared" si="30"/>
        <v>22.409774104247965</v>
      </c>
      <c r="AP69" s="10">
        <f t="shared" si="31"/>
        <v>1.7510132951882846</v>
      </c>
      <c r="AQ69" s="10">
        <f t="shared" si="32"/>
        <v>100.32567168558369</v>
      </c>
      <c r="AR69" s="10">
        <f t="shared" si="33"/>
        <v>27.008749575348205</v>
      </c>
      <c r="AS69" s="10">
        <f t="shared" si="34"/>
        <v>46.529768689796697</v>
      </c>
      <c r="AT69" s="10">
        <f t="shared" si="35"/>
        <v>43.358613538421018</v>
      </c>
    </row>
    <row r="70" spans="25:46" x14ac:dyDescent="0.25">
      <c r="Y70" s="10">
        <v>68</v>
      </c>
      <c r="Z70" s="10">
        <f t="shared" si="25"/>
        <v>109.64781961431841</v>
      </c>
      <c r="AA70" s="10" t="str">
        <f t="shared" si="26"/>
        <v>688.937569164963i</v>
      </c>
      <c r="AB70" s="10">
        <f>$T$6/'5. Current Sense Resistor'!$B$11</f>
        <v>100</v>
      </c>
      <c r="AD70" s="10" t="str">
        <f t="shared" si="21"/>
        <v>0.268265615185344-0.439625330062099i</v>
      </c>
      <c r="AE70" s="10" t="str">
        <f t="shared" si="22"/>
        <v>0.999999465998236-0.00201169764418997i</v>
      </c>
      <c r="AF70" s="10" t="str">
        <f t="shared" si="27"/>
        <v>4.67449438269615-7.69518819243851i</v>
      </c>
      <c r="AG70" s="10">
        <f t="shared" si="28"/>
        <v>9.0037114042434148</v>
      </c>
      <c r="AH70" s="10">
        <f t="shared" si="18"/>
        <v>-1.0249119193402987</v>
      </c>
      <c r="AI70" s="10">
        <f t="shared" si="19"/>
        <v>-58.723127350851769</v>
      </c>
      <c r="AJ70" s="10">
        <f t="shared" si="20"/>
        <v>19.088431322408713</v>
      </c>
      <c r="AL70" s="10" t="str">
        <f t="shared" si="23"/>
        <v>0.00907439259844899-0.0476248349476242i</v>
      </c>
      <c r="AM70" s="10" t="str">
        <f t="shared" si="24"/>
        <v>0.99999407822065-0.0024032758988178i</v>
      </c>
      <c r="AN70" s="10" t="str">
        <f t="shared" si="29"/>
        <v>-3.87066956135767+20.5832280353278i</v>
      </c>
      <c r="AO70" s="10">
        <f t="shared" si="30"/>
        <v>20.944005328674002</v>
      </c>
      <c r="AP70" s="10">
        <f t="shared" si="31"/>
        <v>1.7566752409392947</v>
      </c>
      <c r="AQ70" s="10">
        <f t="shared" si="32"/>
        <v>100.65007728094858</v>
      </c>
      <c r="AR70" s="10">
        <f t="shared" si="33"/>
        <v>26.421194794039472</v>
      </c>
      <c r="AS70" s="10">
        <f t="shared" si="34"/>
        <v>45.509626116448189</v>
      </c>
      <c r="AT70" s="10">
        <f t="shared" si="35"/>
        <v>41.926949930096811</v>
      </c>
    </row>
    <row r="71" spans="25:46" x14ac:dyDescent="0.25">
      <c r="Y71" s="10">
        <v>69</v>
      </c>
      <c r="Z71" s="10">
        <f t="shared" si="25"/>
        <v>117.48975549395293</v>
      </c>
      <c r="AA71" s="10" t="str">
        <f t="shared" si="26"/>
        <v>738.209905463727i</v>
      </c>
      <c r="AB71" s="10">
        <f>$T$6/'5. Current Sense Resistor'!$B$11</f>
        <v>100</v>
      </c>
      <c r="AD71" s="10" t="str">
        <f t="shared" si="21"/>
        <v>0.24233562064689-0.424821134032484i</v>
      </c>
      <c r="AE71" s="10" t="str">
        <f t="shared" si="22"/>
        <v>0.99999938688394-0.00215557285287933i</v>
      </c>
      <c r="AF71" s="10" t="str">
        <f t="shared" si="27"/>
        <v>4.22062481054509-7.43607072819889i</v>
      </c>
      <c r="AG71" s="10">
        <f t="shared" si="28"/>
        <v>8.5503696800878224</v>
      </c>
      <c r="AH71" s="10">
        <f t="shared" si="18"/>
        <v>-1.0545501718578407</v>
      </c>
      <c r="AI71" s="10">
        <f t="shared" si="19"/>
        <v>-60.42127413224992</v>
      </c>
      <c r="AJ71" s="10">
        <f t="shared" si="20"/>
        <v>18.639697842052165</v>
      </c>
      <c r="AL71" s="10" t="str">
        <f t="shared" si="23"/>
        <v>0.00877963476788333-0.0444593028410793i</v>
      </c>
      <c r="AM71" s="10" t="str">
        <f t="shared" si="24"/>
        <v>0.999993200893709-0.00257515420501421i</v>
      </c>
      <c r="AN71" s="10" t="str">
        <f t="shared" si="29"/>
        <v>-3.74331694185366+19.2160552914481i</v>
      </c>
      <c r="AO71" s="10">
        <f t="shared" si="30"/>
        <v>19.577262390108562</v>
      </c>
      <c r="AP71" s="10">
        <f t="shared" si="31"/>
        <v>1.7631883960159882</v>
      </c>
      <c r="AQ71" s="10">
        <f t="shared" si="32"/>
        <v>101.02325357815734</v>
      </c>
      <c r="AR71" s="10">
        <f t="shared" si="33"/>
        <v>25.835039232495369</v>
      </c>
      <c r="AS71" s="10">
        <f t="shared" si="34"/>
        <v>44.474737074547534</v>
      </c>
      <c r="AT71" s="10">
        <f t="shared" si="35"/>
        <v>40.601979445907418</v>
      </c>
    </row>
    <row r="72" spans="25:46" x14ac:dyDescent="0.25">
      <c r="Y72" s="10">
        <v>70</v>
      </c>
      <c r="Z72" s="10">
        <f t="shared" si="25"/>
        <v>125.89254117941665</v>
      </c>
      <c r="AA72" s="10" t="str">
        <f t="shared" si="26"/>
        <v>791.006165022012i</v>
      </c>
      <c r="AB72" s="10">
        <f>$T$6/'5. Current Sense Resistor'!$B$11</f>
        <v>100</v>
      </c>
      <c r="AD72" s="10" t="str">
        <f t="shared" si="21"/>
        <v>0.218206527386543-0.409092280098562i</v>
      </c>
      <c r="AE72" s="10" t="str">
        <f t="shared" si="22"/>
        <v>0.999999296048573-0.00230973791442323i</v>
      </c>
      <c r="AF72" s="10" t="str">
        <f t="shared" si="27"/>
        <v>3.7982775844389-7.16076909103054i</v>
      </c>
      <c r="AG72" s="10">
        <f t="shared" si="28"/>
        <v>8.1057711899306248</v>
      </c>
      <c r="AH72" s="10">
        <f t="shared" si="18"/>
        <v>-1.0831031043644654</v>
      </c>
      <c r="AI72" s="10">
        <f t="shared" si="19"/>
        <v>-62.057236657601408</v>
      </c>
      <c r="AJ72" s="10">
        <f t="shared" si="20"/>
        <v>18.175886805895264</v>
      </c>
      <c r="AL72" s="10" t="str">
        <f t="shared" si="23"/>
        <v>0.0085227685179947-0.0415025878399362i</v>
      </c>
      <c r="AM72" s="10" t="str">
        <f t="shared" si="24"/>
        <v>0.999992193589551-0.00275932459487042i</v>
      </c>
      <c r="AN72" s="10" t="str">
        <f t="shared" si="29"/>
        <v>-3.63233500173561+17.9391373654272i</v>
      </c>
      <c r="AO72" s="10">
        <f t="shared" si="30"/>
        <v>18.303182974021208</v>
      </c>
      <c r="AP72" s="10">
        <f t="shared" si="31"/>
        <v>1.7705763497152647</v>
      </c>
      <c r="AQ72" s="10">
        <f t="shared" si="32"/>
        <v>101.44655214436393</v>
      </c>
      <c r="AR72" s="10">
        <f t="shared" si="33"/>
        <v>25.250532426138001</v>
      </c>
      <c r="AS72" s="10">
        <f t="shared" si="34"/>
        <v>43.426419232033268</v>
      </c>
      <c r="AT72" s="10">
        <f t="shared" si="35"/>
        <v>39.389315486762527</v>
      </c>
    </row>
    <row r="73" spans="25:46" x14ac:dyDescent="0.25">
      <c r="Y73" s="10">
        <v>71</v>
      </c>
      <c r="Z73" s="10">
        <f t="shared" si="25"/>
        <v>134.89628825916537</v>
      </c>
      <c r="AA73" s="10" t="str">
        <f t="shared" si="26"/>
        <v>847.57837638305i</v>
      </c>
      <c r="AB73" s="10">
        <f>$T$6/'5. Current Sense Resistor'!$B$11</f>
        <v>100</v>
      </c>
      <c r="AD73" s="10" t="str">
        <f t="shared" si="21"/>
        <v>0.195903051758366-0.392678983291877i</v>
      </c>
      <c r="AE73" s="10" t="str">
        <f t="shared" si="22"/>
        <v>0.999999191755616-0.00247492875146251i</v>
      </c>
      <c r="AF73" s="10" t="str">
        <f t="shared" si="27"/>
        <v>3.40788533068148-6.87348797214318i</v>
      </c>
      <c r="AG73" s="10">
        <f t="shared" si="28"/>
        <v>7.6719306129729166</v>
      </c>
      <c r="AH73" s="10">
        <f t="shared" si="18"/>
        <v>-1.1105131922759457</v>
      </c>
      <c r="AI73" s="10">
        <f t="shared" si="19"/>
        <v>-63.627719011011777</v>
      </c>
      <c r="AJ73" s="10">
        <f t="shared" si="20"/>
        <v>17.698093326059102</v>
      </c>
      <c r="AL73" s="10" t="str">
        <f t="shared" si="23"/>
        <v>0.00829893887247305-0.0387412125936103i</v>
      </c>
      <c r="AM73" s="10" t="str">
        <f t="shared" si="24"/>
        <v>0.9999910370522-0.00295666606685013i</v>
      </c>
      <c r="AN73" s="10" t="str">
        <f t="shared" si="29"/>
        <v>-3.53562609348849+16.7466539012109i</v>
      </c>
      <c r="AO73" s="10">
        <f t="shared" si="30"/>
        <v>17.115813412160666</v>
      </c>
      <c r="AP73" s="10">
        <f t="shared" si="31"/>
        <v>1.778865118945353</v>
      </c>
      <c r="AQ73" s="10">
        <f t="shared" si="32"/>
        <v>101.9214636386059</v>
      </c>
      <c r="AR73" s="10">
        <f t="shared" si="33"/>
        <v>24.667950867629923</v>
      </c>
      <c r="AS73" s="10">
        <f t="shared" si="34"/>
        <v>42.366044193689021</v>
      </c>
      <c r="AT73" s="10">
        <f t="shared" si="35"/>
        <v>38.293744627594123</v>
      </c>
    </row>
    <row r="74" spans="25:46" x14ac:dyDescent="0.25">
      <c r="Y74" s="10">
        <v>72</v>
      </c>
      <c r="Z74" s="10">
        <f t="shared" si="25"/>
        <v>144.54397707459273</v>
      </c>
      <c r="AA74" s="10" t="str">
        <f t="shared" si="26"/>
        <v>908.196592996384i</v>
      </c>
      <c r="AB74" s="10">
        <f>$T$6/'5. Current Sense Resistor'!$B$11</f>
        <v>100</v>
      </c>
      <c r="AD74" s="10" t="str">
        <f t="shared" si="21"/>
        <v>0.175414261090055-0.375807171523209i</v>
      </c>
      <c r="AE74" s="10" t="str">
        <f t="shared" si="22"/>
        <v>0.99999907201128-0.00265193391920205i</v>
      </c>
      <c r="AF74" s="10" t="str">
        <f t="shared" si="27"/>
        <v>3.0492566874538-6.57818198963793i</v>
      </c>
      <c r="AG74" s="10">
        <f t="shared" si="28"/>
        <v>7.2505478851448562</v>
      </c>
      <c r="AH74" s="10">
        <f t="shared" si="18"/>
        <v>-1.1367389827850247</v>
      </c>
      <c r="AI74" s="10">
        <f t="shared" si="19"/>
        <v>-65.130346121576267</v>
      </c>
      <c r="AJ74" s="10">
        <f t="shared" si="20"/>
        <v>17.207416502467716</v>
      </c>
      <c r="AL74" s="10" t="str">
        <f t="shared" si="23"/>
        <v>0.00810390904336137-0.0361625136618976i</v>
      </c>
      <c r="AM74" s="10" t="str">
        <f t="shared" si="24"/>
        <v>0.999989709173035-0.00316812045649587i</v>
      </c>
      <c r="AN74" s="10" t="str">
        <f t="shared" si="29"/>
        <v>-3.45135964959868+15.6331363736497i</v>
      </c>
      <c r="AO74" s="10">
        <f t="shared" si="30"/>
        <v>16.009585763160999</v>
      </c>
      <c r="AP74" s="10">
        <f t="shared" si="31"/>
        <v>1.7880829253630623</v>
      </c>
      <c r="AQ74" s="10">
        <f t="shared" si="32"/>
        <v>102.44960504270925</v>
      </c>
      <c r="AR74" s="10">
        <f t="shared" si="33"/>
        <v>24.087601899971549</v>
      </c>
      <c r="AS74" s="10">
        <f t="shared" si="34"/>
        <v>41.295018402439268</v>
      </c>
      <c r="AT74" s="10">
        <f t="shared" si="35"/>
        <v>37.319258921132985</v>
      </c>
    </row>
    <row r="75" spans="25:46" x14ac:dyDescent="0.25">
      <c r="Y75" s="10">
        <v>73</v>
      </c>
      <c r="Z75" s="10">
        <f t="shared" si="25"/>
        <v>154.88166189124806</v>
      </c>
      <c r="AA75" s="10" t="str">
        <f t="shared" si="26"/>
        <v>973.150182346646i</v>
      </c>
      <c r="AB75" s="10">
        <f>$T$6/'5. Current Sense Resistor'!$B$11</f>
        <v>100</v>
      </c>
      <c r="AD75" s="10" t="str">
        <f t="shared" si="21"/>
        <v>0.156699236371308-0.35868377972184i</v>
      </c>
      <c r="AE75" s="10" t="str">
        <f t="shared" si="22"/>
        <v>0.999998934526387-0.00284159836962934i</v>
      </c>
      <c r="AF75" s="10" t="str">
        <f t="shared" si="27"/>
        <v>2.72167542253036-6.27847331902679i</v>
      </c>
      <c r="AG75" s="10">
        <f t="shared" si="28"/>
        <v>6.8430069650218153</v>
      </c>
      <c r="AH75" s="10">
        <f t="shared" si="18"/>
        <v>-1.1617539216869661</v>
      </c>
      <c r="AI75" s="10">
        <f t="shared" si="19"/>
        <v>-66.563596545435118</v>
      </c>
      <c r="AJ75" s="10">
        <f t="shared" si="20"/>
        <v>16.704939640694892</v>
      </c>
      <c r="AL75" s="10" t="str">
        <f t="shared" si="23"/>
        <v>0.0079339826515896-0.0337546030721678i</v>
      </c>
      <c r="AM75" s="10" t="str">
        <f t="shared" si="24"/>
        <v>0.999988184568222-0.0033946969239815i</v>
      </c>
      <c r="AN75" s="10" t="str">
        <f t="shared" si="29"/>
        <v>-3.37793857672588+14.5934514922148i</v>
      </c>
      <c r="AO75" s="10">
        <f t="shared" si="30"/>
        <v>14.979295560331241</v>
      </c>
      <c r="AP75" s="10">
        <f t="shared" si="31"/>
        <v>1.7982599127785766</v>
      </c>
      <c r="AQ75" s="10">
        <f t="shared" si="32"/>
        <v>103.03270346977598</v>
      </c>
      <c r="AR75" s="10">
        <f t="shared" si="33"/>
        <v>23.509827800707495</v>
      </c>
      <c r="AS75" s="10">
        <f t="shared" si="34"/>
        <v>40.214767441402387</v>
      </c>
      <c r="AT75" s="10">
        <f t="shared" si="35"/>
        <v>36.469106924340863</v>
      </c>
    </row>
    <row r="76" spans="25:46" x14ac:dyDescent="0.25">
      <c r="Y76" s="10">
        <v>74</v>
      </c>
      <c r="Z76" s="10">
        <f t="shared" si="25"/>
        <v>165.95869074375608</v>
      </c>
      <c r="AA76" s="10" t="str">
        <f t="shared" si="26"/>
        <v>1042.74920727993i</v>
      </c>
      <c r="AB76" s="10">
        <f>$T$6/'5. Current Sense Resistor'!$B$11</f>
        <v>100</v>
      </c>
      <c r="AD76" s="10" t="str">
        <f t="shared" si="21"/>
        <v>0.139693006746386-0.341493700898725i</v>
      </c>
      <c r="AE76" s="10" t="str">
        <f t="shared" si="22"/>
        <v>0.999998776672606-0.0030448274849415i</v>
      </c>
      <c r="AF76" s="10" t="str">
        <f t="shared" si="27"/>
        <v>2.42400430856072-5.97759832598813i</v>
      </c>
      <c r="AG76" s="10">
        <f t="shared" si="28"/>
        <v>6.4503859291345531</v>
      </c>
      <c r="AH76" s="10">
        <f t="shared" si="18"/>
        <v>-1.1855449113182703</v>
      </c>
      <c r="AI76" s="10">
        <f t="shared" si="19"/>
        <v>-67.926719841748351</v>
      </c>
      <c r="AJ76" s="10">
        <f t="shared" si="20"/>
        <v>16.191713988455582</v>
      </c>
      <c r="AL76" s="10" t="str">
        <f t="shared" si="23"/>
        <v>0.00778593550690994-0.0315063295127891i</v>
      </c>
      <c r="AM76" s="10" t="str">
        <f t="shared" si="24"/>
        <v>0.999986434093562-0.00363747676111205i</v>
      </c>
      <c r="AN76" s="10" t="str">
        <f t="shared" si="29"/>
        <v>-3.31396977983326+13.6227844484671i</v>
      </c>
      <c r="AO76" s="10">
        <f t="shared" si="30"/>
        <v>14.020080307581877</v>
      </c>
      <c r="AP76" s="10">
        <f t="shared" si="31"/>
        <v>1.8094277929808589</v>
      </c>
      <c r="AQ76" s="10">
        <f t="shared" si="32"/>
        <v>103.67257587147446</v>
      </c>
      <c r="AR76" s="10">
        <f t="shared" si="33"/>
        <v>22.935010025879237</v>
      </c>
      <c r="AS76" s="10">
        <f t="shared" si="34"/>
        <v>39.126724014334819</v>
      </c>
      <c r="AT76" s="10">
        <f t="shared" si="35"/>
        <v>35.745856029726113</v>
      </c>
    </row>
    <row r="77" spans="25:46" x14ac:dyDescent="0.25">
      <c r="Y77" s="10">
        <v>75</v>
      </c>
      <c r="Z77" s="10">
        <f t="shared" si="25"/>
        <v>177.82794100389225</v>
      </c>
      <c r="AA77" s="10" t="str">
        <f t="shared" si="26"/>
        <v>1117.32590612165i</v>
      </c>
      <c r="AB77" s="10">
        <f>$T$6/'5. Current Sense Resistor'!$B$11</f>
        <v>100</v>
      </c>
      <c r="AD77" s="10" t="str">
        <f t="shared" si="21"/>
        <v>0.124312353965493-0.324398223222611i</v>
      </c>
      <c r="AE77" s="10" t="str">
        <f t="shared" si="22"/>
        <v>0.999998595432214-0.00326259139943282i</v>
      </c>
      <c r="AF77" s="10" t="str">
        <f t="shared" si="27"/>
        <v>2.15478672215538-5.67838020979385i</v>
      </c>
      <c r="AG77" s="10">
        <f t="shared" si="28"/>
        <v>6.0734757449878369</v>
      </c>
      <c r="AH77" s="10">
        <f t="shared" si="18"/>
        <v>-1.208110709100642</v>
      </c>
      <c r="AI77" s="10">
        <f t="shared" si="19"/>
        <v>-69.21964481602393</v>
      </c>
      <c r="AJ77" s="10">
        <f t="shared" si="20"/>
        <v>15.66874602861172</v>
      </c>
      <c r="AL77" s="10" t="str">
        <f t="shared" si="23"/>
        <v>0.00765695582776575-0.0294072397229196i</v>
      </c>
      <c r="AM77" s="10" t="str">
        <f t="shared" si="24"/>
        <v>0.99998442428749-0.00389761854027226i</v>
      </c>
      <c r="AN77" s="10" t="str">
        <f t="shared" si="29"/>
        <v>-3.25823833258306+12.7166222493523i</v>
      </c>
      <c r="AO77" s="10">
        <f t="shared" si="30"/>
        <v>13.127398769925273</v>
      </c>
      <c r="AP77" s="10">
        <f t="shared" si="31"/>
        <v>1.8216194069731513</v>
      </c>
      <c r="AQ77" s="10">
        <f t="shared" si="32"/>
        <v>104.37110389868546</v>
      </c>
      <c r="AR77" s="10">
        <f t="shared" si="33"/>
        <v>22.363573559433473</v>
      </c>
      <c r="AS77" s="10">
        <f t="shared" si="34"/>
        <v>38.032319588045191</v>
      </c>
      <c r="AT77" s="10">
        <f t="shared" si="35"/>
        <v>35.151459082661532</v>
      </c>
    </row>
    <row r="78" spans="25:46" x14ac:dyDescent="0.25">
      <c r="Y78" s="10">
        <v>76</v>
      </c>
      <c r="Z78" s="10">
        <f t="shared" si="25"/>
        <v>190.54607179632481</v>
      </c>
      <c r="AA78" s="10" t="str">
        <f t="shared" si="26"/>
        <v>1197.23627865145i</v>
      </c>
      <c r="AB78" s="10">
        <f>$T$6/'5. Current Sense Resistor'!$B$11</f>
        <v>100</v>
      </c>
      <c r="AD78" s="10" t="str">
        <f t="shared" si="21"/>
        <v>0.110461191771233-0.307534713048221i</v>
      </c>
      <c r="AE78" s="10" t="str">
        <f t="shared" si="22"/>
        <v>0.9999983873404-0.00349592963047184i</v>
      </c>
      <c r="AF78" s="10" t="str">
        <f t="shared" si="27"/>
        <v>1.912340802783-5.38322345546755i</v>
      </c>
      <c r="AG78" s="10">
        <f t="shared" si="28"/>
        <v>5.7128051006037941</v>
      </c>
      <c r="AH78" s="10">
        <f t="shared" si="18"/>
        <v>-1.2294602616688868</v>
      </c>
      <c r="AI78" s="10">
        <f t="shared" si="19"/>
        <v>-70.442884072677032</v>
      </c>
      <c r="AJ78" s="10">
        <f t="shared" si="20"/>
        <v>15.136988156421394</v>
      </c>
      <c r="AL78" s="10" t="str">
        <f t="shared" si="23"/>
        <v>0.007544591898919-0.0274475405047337i</v>
      </c>
      <c r="AM78" s="10" t="str">
        <f t="shared" si="24"/>
        <v>0.999982116731585-0.00417636362935552i</v>
      </c>
      <c r="AN78" s="10" t="str">
        <f t="shared" si="29"/>
        <v>-3.20968486097759+11.8707373204723i</v>
      </c>
      <c r="AO78" s="10">
        <f t="shared" si="30"/>
        <v>12.297011077430263</v>
      </c>
      <c r="AP78" s="10">
        <f t="shared" si="31"/>
        <v>1.8348681877499589</v>
      </c>
      <c r="AQ78" s="10">
        <f t="shared" si="32"/>
        <v>105.13020312089058</v>
      </c>
      <c r="AR78" s="10">
        <f t="shared" si="33"/>
        <v>21.795991285175866</v>
      </c>
      <c r="AS78" s="10">
        <f t="shared" si="34"/>
        <v>36.932979441597261</v>
      </c>
      <c r="AT78" s="10">
        <f t="shared" si="35"/>
        <v>34.687319048213553</v>
      </c>
    </row>
    <row r="79" spans="25:46" x14ac:dyDescent="0.25">
      <c r="Y79" s="10">
        <v>77</v>
      </c>
      <c r="Z79" s="10">
        <f t="shared" si="25"/>
        <v>204.17379446695278</v>
      </c>
      <c r="AA79" s="10" t="str">
        <f t="shared" si="26"/>
        <v>1282.86178550586i</v>
      </c>
      <c r="AB79" s="10">
        <f>$T$6/'5. Current Sense Resistor'!$B$11</f>
        <v>100</v>
      </c>
      <c r="AD79" s="10" t="str">
        <f t="shared" si="21"/>
        <v>0.0980353299881935-0.291017275510501i</v>
      </c>
      <c r="AE79" s="10" t="str">
        <f t="shared" si="22"/>
        <v>0.999998148419025-0.00374595604067142i</v>
      </c>
      <c r="AF79" s="10" t="str">
        <f t="shared" si="27"/>
        <v>1.69484284172558-5.09412539694089i</v>
      </c>
      <c r="AG79" s="10">
        <f t="shared" si="28"/>
        <v>5.3686689055953725</v>
      </c>
      <c r="AH79" s="10">
        <f t="shared" si="18"/>
        <v>-1.2496110517130559</v>
      </c>
      <c r="AI79" s="10">
        <f t="shared" si="19"/>
        <v>-71.597439296062163</v>
      </c>
      <c r="AJ79" s="10">
        <f t="shared" si="20"/>
        <v>14.597332423065151</v>
      </c>
      <c r="AL79" s="10" t="str">
        <f t="shared" si="23"/>
        <v>0.00744670627325378-0.0256180616760968i</v>
      </c>
      <c r="AM79" s="10" t="str">
        <f t="shared" si="24"/>
        <v>0.999979467316381-0.00447504209832487i</v>
      </c>
      <c r="AN79" s="10" t="str">
        <f t="shared" si="29"/>
        <v>-3.16738575413792+11.0811715168067i</v>
      </c>
      <c r="AO79" s="10">
        <f t="shared" si="30"/>
        <v>11.524959639860086</v>
      </c>
      <c r="AP79" s="10">
        <f t="shared" si="31"/>
        <v>1.8492075103989125</v>
      </c>
      <c r="AQ79" s="10">
        <f t="shared" si="32"/>
        <v>105.95178578975197</v>
      </c>
      <c r="AR79" s="10">
        <f t="shared" si="33"/>
        <v>21.232788263504005</v>
      </c>
      <c r="AS79" s="10">
        <f t="shared" si="34"/>
        <v>35.83012068656916</v>
      </c>
      <c r="AT79" s="10">
        <f t="shared" si="35"/>
        <v>34.354346493689803</v>
      </c>
    </row>
    <row r="80" spans="25:46" x14ac:dyDescent="0.25">
      <c r="Y80" s="10">
        <v>78</v>
      </c>
      <c r="Z80" s="10">
        <f t="shared" si="25"/>
        <v>218.77616239495524</v>
      </c>
      <c r="AA80" s="10" t="str">
        <f t="shared" si="26"/>
        <v>1374.61116912112i</v>
      </c>
      <c r="AB80" s="10">
        <f>$T$6/'5. Current Sense Resistor'!$B$11</f>
        <v>100</v>
      </c>
      <c r="AD80" s="10" t="str">
        <f t="shared" si="21"/>
        <v>0.0869265249422197-0.274938127573978i</v>
      </c>
      <c r="AE80" s="10" t="str">
        <f t="shared" si="22"/>
        <v>0.999997874100581-0.0040138641549364i</v>
      </c>
      <c r="AF80" s="10" t="str">
        <f t="shared" si="27"/>
        <v>1.50039817919714-4.81270025079985i</v>
      </c>
      <c r="AG80" s="10">
        <f t="shared" si="28"/>
        <v>5.0411584383142563</v>
      </c>
      <c r="AH80" s="10">
        <f t="shared" si="18"/>
        <v>-1.2685875160067137</v>
      </c>
      <c r="AI80" s="10">
        <f t="shared" si="19"/>
        <v>-72.684710610169461</v>
      </c>
      <c r="AJ80" s="10">
        <f t="shared" si="20"/>
        <v>14.050606941440245</v>
      </c>
      <c r="AL80" s="10" t="str">
        <f t="shared" si="23"/>
        <v>0.00736143572366932-0.0239102201949941i</v>
      </c>
      <c r="AM80" s="10" t="str">
        <f t="shared" si="24"/>
        <v>0.99997642539847-0.00479507904477338i</v>
      </c>
      <c r="AN80" s="10" t="str">
        <f t="shared" si="29"/>
        <v>-3.13053585909516+10.3442206408957i</v>
      </c>
      <c r="AO80" s="10">
        <f t="shared" si="30"/>
        <v>10.807550852649888</v>
      </c>
      <c r="AP80" s="10">
        <f t="shared" si="31"/>
        <v>1.8646699157397717</v>
      </c>
      <c r="AQ80" s="10">
        <f t="shared" si="32"/>
        <v>106.83771635690374</v>
      </c>
      <c r="AR80" s="10">
        <f t="shared" si="33"/>
        <v>20.674545753830703</v>
      </c>
      <c r="AS80" s="10">
        <f t="shared" si="34"/>
        <v>34.72515269527095</v>
      </c>
      <c r="AT80" s="10">
        <f t="shared" si="35"/>
        <v>34.15300574673428</v>
      </c>
    </row>
    <row r="81" spans="25:46" x14ac:dyDescent="0.25">
      <c r="Y81" s="10">
        <v>79</v>
      </c>
      <c r="Z81" s="10">
        <f t="shared" si="25"/>
        <v>234.42288153199212</v>
      </c>
      <c r="AA81" s="10" t="str">
        <f t="shared" si="26"/>
        <v>1472.92240490851i</v>
      </c>
      <c r="AB81" s="10">
        <f>$T$6/'5. Current Sense Resistor'!$B$11</f>
        <v>100</v>
      </c>
      <c r="AD81" s="10" t="str">
        <f t="shared" si="21"/>
        <v>0.0770257911357255-0.259369443067628i</v>
      </c>
      <c r="AE81" s="10" t="str">
        <f t="shared" si="22"/>
        <v>0.999997559140859-0.00430093285776584i</v>
      </c>
      <c r="AF81" s="10" t="str">
        <f t="shared" si="27"/>
        <v>1.32709917074526-4.54021141152698i</v>
      </c>
      <c r="AG81" s="10">
        <f t="shared" si="28"/>
        <v>4.7301915257579754</v>
      </c>
      <c r="AH81" s="10">
        <f t="shared" si="18"/>
        <v>-1.2864195754612302</v>
      </c>
      <c r="AI81" s="10">
        <f t="shared" si="19"/>
        <v>-73.706412356939609</v>
      </c>
      <c r="AJ81" s="10">
        <f t="shared" si="20"/>
        <v>13.497574514104455</v>
      </c>
      <c r="AL81" s="10" t="str">
        <f t="shared" si="23"/>
        <v>0.0072871562413958-0.0223159856178446i</v>
      </c>
      <c r="AM81" s="10" t="str">
        <f t="shared" si="24"/>
        <v>0.999972932832805-0.0051380013676594i</v>
      </c>
      <c r="AN81" s="10" t="str">
        <f t="shared" si="29"/>
        <v>-3.09843335552873+9.65641953862025i</v>
      </c>
      <c r="AO81" s="10">
        <f t="shared" si="30"/>
        <v>10.141337562890802</v>
      </c>
      <c r="AP81" s="10">
        <f t="shared" si="31"/>
        <v>1.8812861952480675</v>
      </c>
      <c r="AQ81" s="10">
        <f t="shared" si="32"/>
        <v>107.78975904393882</v>
      </c>
      <c r="AR81" s="10">
        <f t="shared" si="33"/>
        <v>20.12190477622477</v>
      </c>
      <c r="AS81" s="10">
        <f t="shared" si="34"/>
        <v>33.619479290329224</v>
      </c>
      <c r="AT81" s="10">
        <f t="shared" si="35"/>
        <v>34.083346686999207</v>
      </c>
    </row>
    <row r="82" spans="25:46" x14ac:dyDescent="0.25">
      <c r="Y82" s="10">
        <v>80</v>
      </c>
      <c r="Z82" s="10">
        <f t="shared" si="25"/>
        <v>251.18864315095806</v>
      </c>
      <c r="AA82" s="10" t="str">
        <f t="shared" si="26"/>
        <v>1578.26479197648i</v>
      </c>
      <c r="AB82" s="10">
        <f>$T$6/'5. Current Sense Resistor'!$B$11</f>
        <v>100</v>
      </c>
      <c r="AD82" s="10" t="str">
        <f t="shared" si="21"/>
        <v>0.0682260024323993-0.244365465876057i</v>
      </c>
      <c r="AE82" s="10" t="str">
        <f t="shared" si="22"/>
        <v>0.999997197518705-0.00460853249800212i</v>
      </c>
      <c r="AF82" s="10" t="str">
        <f t="shared" si="27"/>
        <v>1.17307071747246-4.27760844048651i</v>
      </c>
      <c r="AG82" s="10">
        <f t="shared" si="28"/>
        <v>4.4355415541185934</v>
      </c>
      <c r="AH82" s="10">
        <f t="shared" si="18"/>
        <v>-1.3031413025886971</v>
      </c>
      <c r="AI82" s="10">
        <f t="shared" si="19"/>
        <v>-74.664496747512885</v>
      </c>
      <c r="AJ82" s="10">
        <f t="shared" si="20"/>
        <v>12.93893304527985</v>
      </c>
      <c r="AL82" s="10" t="str">
        <f t="shared" si="23"/>
        <v>0.00722245245868961-0.0208278469989424i</v>
      </c>
      <c r="AM82" s="10" t="str">
        <f t="shared" si="24"/>
        <v>0.999968922861734-0.00550544502029799i</v>
      </c>
      <c r="AN82" s="10" t="str">
        <f t="shared" si="29"/>
        <v>-3.07046654164458+9.01452781900129i</v>
      </c>
      <c r="AO82" s="10">
        <f t="shared" si="30"/>
        <v>9.5231022562454388</v>
      </c>
      <c r="AP82" s="10">
        <f t="shared" si="31"/>
        <v>1.8990843280405572</v>
      </c>
      <c r="AQ82" s="10">
        <f t="shared" si="32"/>
        <v>108.80951693616186</v>
      </c>
      <c r="AR82" s="10">
        <f t="shared" si="33"/>
        <v>19.575568953608023</v>
      </c>
      <c r="AS82" s="10">
        <f t="shared" si="34"/>
        <v>32.514501998887873</v>
      </c>
      <c r="AT82" s="10">
        <f t="shared" si="35"/>
        <v>34.145020188648971</v>
      </c>
    </row>
    <row r="83" spans="25:46" x14ac:dyDescent="0.25">
      <c r="Y83" s="10">
        <v>81</v>
      </c>
      <c r="Z83" s="10">
        <f t="shared" si="25"/>
        <v>269.15348039269156</v>
      </c>
      <c r="AA83" s="10" t="str">
        <f t="shared" si="26"/>
        <v>1691.14119337961i</v>
      </c>
      <c r="AB83" s="10">
        <f>$T$6/'5. Current Sense Resistor'!$B$11</f>
        <v>100</v>
      </c>
      <c r="AD83" s="10" t="str">
        <f t="shared" si="21"/>
        <v>0.0604238457982499-0.229964728603207i</v>
      </c>
      <c r="AE83" s="10" t="str">
        <f t="shared" si="22"/>
        <v>0.99999678232091-0.00493813143016159i</v>
      </c>
      <c r="AF83" s="10" t="str">
        <f t="shared" si="27"/>
        <v>1.03650446362868-4.02556590109398i</v>
      </c>
      <c r="AG83" s="10">
        <f t="shared" si="28"/>
        <v>4.1568644826567018</v>
      </c>
      <c r="AH83" s="10">
        <f t="shared" si="18"/>
        <v>-1.3187897390338714</v>
      </c>
      <c r="AI83" s="10">
        <f t="shared" si="19"/>
        <v>-75.561086111800066</v>
      </c>
      <c r="AJ83" s="10">
        <f t="shared" si="20"/>
        <v>12.375317327296589</v>
      </c>
      <c r="AL83" s="10" t="str">
        <f t="shared" si="23"/>
        <v>0.0071660909471469-0.0194387812950321i</v>
      </c>
      <c r="AM83" s="10" t="str">
        <f t="shared" si="24"/>
        <v>0.99996431883959-0.00589916277568756i</v>
      </c>
      <c r="AN83" s="10" t="str">
        <f t="shared" si="29"/>
        <v>-3.04610229404032+8.41551622576753i</v>
      </c>
      <c r="AO83" s="10">
        <f t="shared" si="30"/>
        <v>8.9498409221568984</v>
      </c>
      <c r="AP83" s="10">
        <f t="shared" si="31"/>
        <v>1.918088265646918</v>
      </c>
      <c r="AQ83" s="10">
        <f t="shared" si="32"/>
        <v>109.8983623551363</v>
      </c>
      <c r="AR83" s="10">
        <f t="shared" si="33"/>
        <v>19.03630632141671</v>
      </c>
      <c r="AS83" s="10">
        <f t="shared" si="34"/>
        <v>31.411623648713299</v>
      </c>
      <c r="AT83" s="10">
        <f t="shared" si="35"/>
        <v>34.337276243336234</v>
      </c>
    </row>
    <row r="84" spans="25:46" x14ac:dyDescent="0.25">
      <c r="Y84" s="10">
        <v>82</v>
      </c>
      <c r="Z84" s="10">
        <f t="shared" si="25"/>
        <v>288.4031503126605</v>
      </c>
      <c r="AA84" s="10" t="str">
        <f t="shared" si="26"/>
        <v>1812.09043658881i</v>
      </c>
      <c r="AB84" s="10">
        <f>$T$6/'5. Current Sense Resistor'!$B$11</f>
        <v>100</v>
      </c>
      <c r="AD84" s="10" t="str">
        <f t="shared" si="21"/>
        <v>0.0535212099222994-0.216192254359091i</v>
      </c>
      <c r="AE84" s="10" t="str">
        <f t="shared" si="22"/>
        <v>0.999996305610044-0.00529130302356612i</v>
      </c>
      <c r="AF84" s="10" t="str">
        <f t="shared" si="27"/>
        <v>0.915683102533517-3.78452189860987i</v>
      </c>
      <c r="AG84" s="10">
        <f t="shared" si="28"/>
        <v>3.8937233524382622</v>
      </c>
      <c r="AH84" s="10">
        <f t="shared" si="18"/>
        <v>-1.3334038659639553</v>
      </c>
      <c r="AI84" s="10">
        <f t="shared" si="19"/>
        <v>-76.398413906162361</v>
      </c>
      <c r="AJ84" s="10">
        <f t="shared" si="20"/>
        <v>11.807301836450797</v>
      </c>
      <c r="AL84" s="10" t="str">
        <f t="shared" si="23"/>
        <v>0.00711699690836893-0.0181422233052242i</v>
      </c>
      <c r="AM84" s="10" t="str">
        <f t="shared" si="24"/>
        <v>0.999959032768495-0.00632103253934333i</v>
      </c>
      <c r="AN84" s="10" t="str">
        <f t="shared" si="29"/>
        <v>-3.02487599269178+7.85655367384417i</v>
      </c>
      <c r="AO84" s="10">
        <f t="shared" si="30"/>
        <v>8.418747555376477</v>
      </c>
      <c r="AP84" s="10">
        <f t="shared" si="31"/>
        <v>1.9383165675756526</v>
      </c>
      <c r="AQ84" s="10">
        <f t="shared" si="32"/>
        <v>111.05735868236913</v>
      </c>
      <c r="AR84" s="10">
        <f t="shared" si="33"/>
        <v>18.504949739145736</v>
      </c>
      <c r="AS84" s="10">
        <f t="shared" si="34"/>
        <v>30.312251575596534</v>
      </c>
      <c r="AT84" s="10">
        <f t="shared" si="35"/>
        <v>34.658944776206766</v>
      </c>
    </row>
    <row r="85" spans="25:46" x14ac:dyDescent="0.25">
      <c r="Y85" s="10">
        <v>83</v>
      </c>
      <c r="Z85" s="10">
        <f t="shared" si="25"/>
        <v>309.02954325135909</v>
      </c>
      <c r="AA85" s="10" t="str">
        <f t="shared" si="26"/>
        <v>1941.68988564136i</v>
      </c>
      <c r="AB85" s="10">
        <f>$T$6/'5. Current Sense Resistor'!$B$11</f>
        <v>100</v>
      </c>
      <c r="AD85" s="10" t="str">
        <f t="shared" si="21"/>
        <v>0.0474260983929115-0.203061655554701i</v>
      </c>
      <c r="AE85" s="10" t="str">
        <f t="shared" si="22"/>
        <v>0.99999575827272-0.00566973317272407i</v>
      </c>
      <c r="AF85" s="10" t="str">
        <f t="shared" si="27"/>
        <v>0.80899636048478-3.55471481723511i</v>
      </c>
      <c r="AG85" s="10">
        <f t="shared" si="28"/>
        <v>3.6456100371746372</v>
      </c>
      <c r="AH85" s="10">
        <f t="shared" si="18"/>
        <v>-1.3470237229031539</v>
      </c>
      <c r="AI85" s="10">
        <f t="shared" si="19"/>
        <v>-77.178774226350399</v>
      </c>
      <c r="AJ85" s="10">
        <f t="shared" si="20"/>
        <v>11.235404225705302</v>
      </c>
      <c r="AL85" s="10" t="str">
        <f t="shared" si="23"/>
        <v>0.00707423383203038-0.0169320371503231i</v>
      </c>
      <c r="AM85" s="10" t="str">
        <f t="shared" si="24"/>
        <v>0.999952963617487-0.006773066246984i</v>
      </c>
      <c r="AN85" s="10" t="str">
        <f t="shared" si="29"/>
        <v>-3.00638272738162+7.3349949526292i</v>
      </c>
      <c r="AO85" s="10">
        <f t="shared" si="30"/>
        <v>7.9271992568999048</v>
      </c>
      <c r="AP85" s="10">
        <f t="shared" si="31"/>
        <v>1.959780900646882</v>
      </c>
      <c r="AQ85" s="10">
        <f t="shared" si="32"/>
        <v>112.28717437741365</v>
      </c>
      <c r="AR85" s="10">
        <f t="shared" si="33"/>
        <v>17.982395493840283</v>
      </c>
      <c r="AS85" s="10">
        <f t="shared" si="34"/>
        <v>29.217799719545585</v>
      </c>
      <c r="AT85" s="10">
        <f t="shared" si="35"/>
        <v>35.10840015106325</v>
      </c>
    </row>
    <row r="86" spans="25:46" x14ac:dyDescent="0.25">
      <c r="Y86" s="10">
        <v>84</v>
      </c>
      <c r="Z86" s="10">
        <f t="shared" si="25"/>
        <v>331.13112148259108</v>
      </c>
      <c r="AA86" s="10" t="str">
        <f t="shared" si="26"/>
        <v>2080.55819724932i</v>
      </c>
      <c r="AB86" s="10">
        <f>$T$6/'5. Current Sense Resistor'!$B$11</f>
        <v>100</v>
      </c>
      <c r="AD86" s="10" t="str">
        <f t="shared" si="21"/>
        <v>0.0420531560325005-0.190577074076178i</v>
      </c>
      <c r="AE86" s="10" t="str">
        <f t="shared" si="22"/>
        <v>0.999995129845366-0.00607522834480132i</v>
      </c>
      <c r="AF86" s="10" t="str">
        <f t="shared" si="27"/>
        <v>0.714950209525015-3.336217280802i</v>
      </c>
      <c r="AG86" s="10">
        <f t="shared" si="28"/>
        <v>3.411964177247726</v>
      </c>
      <c r="AH86" s="10">
        <f t="shared" si="18"/>
        <v>-1.3596896657170752</v>
      </c>
      <c r="AI86" s="10">
        <f t="shared" si="19"/>
        <v>-77.904479293142145</v>
      </c>
      <c r="AJ86" s="10">
        <f t="shared" si="20"/>
        <v>10.660089255857482</v>
      </c>
      <c r="AL86" s="10" t="str">
        <f t="shared" si="23"/>
        <v>0.00703698574816187-0.0158024892756509i</v>
      </c>
      <c r="AM86" s="10" t="str">
        <f t="shared" si="24"/>
        <v>0.999945995392926-0.00725741938667386i</v>
      </c>
      <c r="AN86" s="10" t="str">
        <f t="shared" si="29"/>
        <v>-2.99026962424141+6.84836908929471i</v>
      </c>
      <c r="AO86" s="10">
        <f t="shared" si="30"/>
        <v>7.4727419070156662</v>
      </c>
      <c r="AP86" s="10">
        <f t="shared" si="31"/>
        <v>1.9824844278832294</v>
      </c>
      <c r="AQ86" s="10">
        <f t="shared" si="32"/>
        <v>113.58799066811667</v>
      </c>
      <c r="AR86" s="10">
        <f t="shared" si="33"/>
        <v>17.469599657716604</v>
      </c>
      <c r="AS86" s="10">
        <f t="shared" si="34"/>
        <v>28.129688913574086</v>
      </c>
      <c r="AT86" s="10">
        <f t="shared" si="35"/>
        <v>35.683511374974529</v>
      </c>
    </row>
    <row r="87" spans="25:46" x14ac:dyDescent="0.25">
      <c r="Y87" s="10">
        <v>85</v>
      </c>
      <c r="Z87" s="10">
        <f t="shared" si="25"/>
        <v>354.81338923357566</v>
      </c>
      <c r="AA87" s="10" t="str">
        <f t="shared" si="26"/>
        <v>2229.35827402299i</v>
      </c>
      <c r="AB87" s="10">
        <f>$T$6/'5. Current Sense Resistor'!$B$11</f>
        <v>100</v>
      </c>
      <c r="AD87" s="10" t="str">
        <f t="shared" si="21"/>
        <v>0.0373238905193852-0.178734931483168i</v>
      </c>
      <c r="AE87" s="10" t="str">
        <f t="shared" si="22"/>
        <v>0.999994408314194-0.00650972420258419i</v>
      </c>
      <c r="AF87" s="10" t="str">
        <f t="shared" si="27"/>
        <v>0.632170746618761-3.12896678823492i</v>
      </c>
      <c r="AG87" s="10">
        <f t="shared" si="28"/>
        <v>3.1921893763932108</v>
      </c>
      <c r="AH87" s="10">
        <f t="shared" si="18"/>
        <v>-1.371441751470166</v>
      </c>
      <c r="AI87" s="10">
        <f t="shared" si="19"/>
        <v>-78.577824207270083</v>
      </c>
      <c r="AJ87" s="10">
        <f t="shared" si="20"/>
        <v>10.081772958604745</v>
      </c>
      <c r="AL87" s="10" t="str">
        <f t="shared" si="23"/>
        <v>0.007004541746277-0.0147482229464276i</v>
      </c>
      <c r="AM87" s="10" t="str">
        <f t="shared" si="24"/>
        <v>0.999937994923453-0.00777640118734333i</v>
      </c>
      <c r="AN87" s="10" t="str">
        <f t="shared" si="29"/>
        <v>-2.97622915086155+6.39436835886656i</v>
      </c>
      <c r="AO87" s="10">
        <f t="shared" si="30"/>
        <v>7.0530763973823429</v>
      </c>
      <c r="AP87" s="10">
        <f t="shared" si="31"/>
        <v>2.0064201282930849</v>
      </c>
      <c r="AQ87" s="10">
        <f t="shared" si="32"/>
        <v>114.95940528129096</v>
      </c>
      <c r="AR87" s="10">
        <f t="shared" si="33"/>
        <v>16.967571761060157</v>
      </c>
      <c r="AS87" s="10">
        <f t="shared" si="34"/>
        <v>27.049344719664902</v>
      </c>
      <c r="AT87" s="10">
        <f t="shared" si="35"/>
        <v>36.381581074020872</v>
      </c>
    </row>
    <row r="88" spans="25:46" x14ac:dyDescent="0.25">
      <c r="Y88" s="10">
        <v>86</v>
      </c>
      <c r="Z88" s="10">
        <f t="shared" si="25"/>
        <v>380.18939632056095</v>
      </c>
      <c r="AA88" s="10" t="str">
        <f t="shared" si="26"/>
        <v>2388.80042890683i</v>
      </c>
      <c r="AB88" s="10">
        <f>$T$6/'5. Current Sense Resistor'!$B$11</f>
        <v>100</v>
      </c>
      <c r="AD88" s="10" t="str">
        <f t="shared" si="21"/>
        <v>0.0331666619483235-0.167525476237607i</v>
      </c>
      <c r="AE88" s="10" t="str">
        <f t="shared" si="22"/>
        <v>0.999993579885524-0.00697529484407904i</v>
      </c>
      <c r="AF88" s="10" t="str">
        <f t="shared" si="27"/>
        <v>0.559404010907429-2.93279279634537i</v>
      </c>
      <c r="AG88" s="10">
        <f t="shared" si="28"/>
        <v>2.9856668323365581</v>
      </c>
      <c r="AH88" s="10">
        <f t="shared" si="18"/>
        <v>-1.382319236373577</v>
      </c>
      <c r="AI88" s="10">
        <f t="shared" si="19"/>
        <v>-79.201058183952796</v>
      </c>
      <c r="AJ88" s="10">
        <f t="shared" si="20"/>
        <v>9.5008268718621807</v>
      </c>
      <c r="AL88" s="10" t="str">
        <f t="shared" si="23"/>
        <v>0.0069762824744411-0.0137642341937108i</v>
      </c>
      <c r="AM88" s="10" t="str">
        <f t="shared" si="24"/>
        <v>0.999928809317321-0.00833248551797814i</v>
      </c>
      <c r="AN88" s="10" t="str">
        <f t="shared" si="29"/>
        <v>-2.96399327589102+5.97083792306527i</v>
      </c>
      <c r="AO88" s="10">
        <f t="shared" si="30"/>
        <v>6.6660454276161047</v>
      </c>
      <c r="AP88" s="10">
        <f t="shared" si="31"/>
        <v>2.0315691065691883</v>
      </c>
      <c r="AQ88" s="10">
        <f t="shared" si="32"/>
        <v>116.40033559557786</v>
      </c>
      <c r="AR88" s="10">
        <f t="shared" si="33"/>
        <v>16.47736537909681</v>
      </c>
      <c r="AS88" s="10">
        <f t="shared" si="34"/>
        <v>25.97819225095899</v>
      </c>
      <c r="AT88" s="10">
        <f t="shared" si="35"/>
        <v>37.199277411625062</v>
      </c>
    </row>
    <row r="89" spans="25:46" x14ac:dyDescent="0.25">
      <c r="Y89" s="10">
        <v>87</v>
      </c>
      <c r="Z89" s="10">
        <f t="shared" si="25"/>
        <v>407.38027780411232</v>
      </c>
      <c r="AA89" s="10" t="str">
        <f t="shared" si="26"/>
        <v>2559.64577593354i</v>
      </c>
      <c r="AB89" s="10">
        <f>$T$6/'5. Current Sense Resistor'!$B$11</f>
        <v>100</v>
      </c>
      <c r="AD89" s="10" t="str">
        <f t="shared" si="21"/>
        <v>0.0295165022628879-0.156934128140169i</v>
      </c>
      <c r="AE89" s="10" t="str">
        <f t="shared" si="22"/>
        <v>0.999992628722094-0.00747416270283362i</v>
      </c>
      <c r="AF89" s="10" t="str">
        <f t="shared" si="27"/>
        <v>0.495512823097901-2.74744025306694i</v>
      </c>
      <c r="AG89" s="10">
        <f t="shared" si="28"/>
        <v>2.7917666274291237</v>
      </c>
      <c r="AH89" s="10">
        <f t="shared" si="18"/>
        <v>-1.3923601726248667</v>
      </c>
      <c r="AI89" s="10">
        <f t="shared" si="19"/>
        <v>-79.776361453511598</v>
      </c>
      <c r="AJ89" s="10">
        <f t="shared" si="20"/>
        <v>8.9175822284793078</v>
      </c>
      <c r="AL89" s="10" t="str">
        <f t="shared" si="23"/>
        <v>0.00695166836705187-0.0128458491609972i</v>
      </c>
      <c r="AM89" s="10" t="str">
        <f t="shared" si="24"/>
        <v>0.999918263043751-0.00892832254416129i</v>
      </c>
      <c r="AN89" s="10" t="str">
        <f t="shared" si="29"/>
        <v>-2.95332837444389+5.57576607648417i</v>
      </c>
      <c r="AO89" s="10">
        <f t="shared" si="30"/>
        <v>6.3096208940765264</v>
      </c>
      <c r="AP89" s="10">
        <f t="shared" si="31"/>
        <v>2.057898970388405</v>
      </c>
      <c r="AQ89" s="10">
        <f t="shared" si="32"/>
        <v>117.90892566757317</v>
      </c>
      <c r="AR89" s="10">
        <f t="shared" si="33"/>
        <v>16.000065319409696</v>
      </c>
      <c r="AS89" s="10">
        <f t="shared" si="34"/>
        <v>24.917647547889004</v>
      </c>
      <c r="AT89" s="10">
        <f t="shared" si="35"/>
        <v>38.132564214061574</v>
      </c>
    </row>
    <row r="90" spans="25:46" x14ac:dyDescent="0.25">
      <c r="Y90" s="10">
        <v>88</v>
      </c>
      <c r="Z90" s="10">
        <f t="shared" si="25"/>
        <v>436.51583224016542</v>
      </c>
      <c r="AA90" s="10" t="str">
        <f t="shared" si="26"/>
        <v>2742.70986348268i</v>
      </c>
      <c r="AB90" s="10">
        <f>$T$6/'5. Current Sense Resistor'!$B$11</f>
        <v>100</v>
      </c>
      <c r="AD90" s="10" t="str">
        <f t="shared" si="21"/>
        <v>0.0263148157337296-0.146942629030979i</v>
      </c>
      <c r="AE90" s="10" t="str">
        <f t="shared" si="22"/>
        <v>0.999991536640286-0.00800870915621484i</v>
      </c>
      <c r="AF90" s="10" t="str">
        <f t="shared" si="27"/>
        <v>0.439471542717125-2.5725897396567i</v>
      </c>
      <c r="AG90" s="10">
        <f t="shared" si="28"/>
        <v>2.6098569319878622</v>
      </c>
      <c r="AH90" s="10">
        <f t="shared" si="18"/>
        <v>-1.4016010902857594</v>
      </c>
      <c r="AI90" s="10">
        <f t="shared" si="19"/>
        <v>-80.305827034308663</v>
      </c>
      <c r="AJ90" s="10">
        <f t="shared" si="20"/>
        <v>8.3323340138061646</v>
      </c>
      <c r="AL90" s="10" t="str">
        <f t="shared" si="23"/>
        <v>0.00693022938149482-0.0119887027961933i</v>
      </c>
      <c r="AM90" s="10" t="str">
        <f t="shared" si="24"/>
        <v>0.999906154582834-0.00956675119103958i</v>
      </c>
      <c r="AN90" s="10" t="str">
        <f t="shared" si="29"/>
        <v>-2.94403078417232+5.20727507635725i</v>
      </c>
      <c r="AO90" s="10">
        <f t="shared" si="30"/>
        <v>5.981891923046228</v>
      </c>
      <c r="AP90" s="10">
        <f t="shared" si="31"/>
        <v>2.0853623707737343</v>
      </c>
      <c r="AQ90" s="10">
        <f t="shared" si="32"/>
        <v>119.48246260073051</v>
      </c>
      <c r="AR90" s="10">
        <f t="shared" si="33"/>
        <v>15.536771244288277</v>
      </c>
      <c r="AS90" s="10">
        <f t="shared" si="34"/>
        <v>23.869105258094443</v>
      </c>
      <c r="AT90" s="10">
        <f t="shared" si="35"/>
        <v>39.176635566421851</v>
      </c>
    </row>
    <row r="91" spans="25:46" x14ac:dyDescent="0.25">
      <c r="Y91" s="10">
        <v>89</v>
      </c>
      <c r="Z91" s="10">
        <f t="shared" si="25"/>
        <v>467.73514128719791</v>
      </c>
      <c r="AA91" s="10" t="str">
        <f t="shared" si="26"/>
        <v>2938.86656738729i</v>
      </c>
      <c r="AB91" s="10">
        <f>$T$6/'5. Current Sense Resistor'!$B$11</f>
        <v>100</v>
      </c>
      <c r="AD91" s="10" t="str">
        <f t="shared" si="21"/>
        <v>0.023509001603957-0.137530014312476i</v>
      </c>
      <c r="AE91" s="10" t="str">
        <f t="shared" si="22"/>
        <v>0.999990282762512-0.00858148589225005i</v>
      </c>
      <c r="AF91" s="10" t="str">
        <f t="shared" si="27"/>
        <v>0.390359463003878-2.40787447668305i</v>
      </c>
      <c r="AG91" s="10">
        <f t="shared" si="28"/>
        <v>2.43931137943034</v>
      </c>
      <c r="AH91" s="10">
        <f t="shared" si="18"/>
        <v>-1.4100767511842527</v>
      </c>
      <c r="AI91" s="10">
        <f t="shared" si="19"/>
        <v>-80.791446632376392</v>
      </c>
      <c r="AJ91" s="10">
        <f t="shared" si="20"/>
        <v>7.7453448356054224</v>
      </c>
      <c r="AL91" s="10" t="str">
        <f t="shared" si="23"/>
        <v>0.00691155605142552-0.0111887188302499i</v>
      </c>
      <c r="AM91" s="10" t="str">
        <f t="shared" si="24"/>
        <v>0.999892252580362-0.0102508124641236i</v>
      </c>
      <c r="AN91" s="10" t="str">
        <f t="shared" si="29"/>
        <v>-2.93592292876192+4.86361253070086i</v>
      </c>
      <c r="AO91" s="10">
        <f t="shared" si="30"/>
        <v>5.6810536252019652</v>
      </c>
      <c r="AP91" s="10">
        <f t="shared" si="31"/>
        <v>2.1138958153195428</v>
      </c>
      <c r="AQ91" s="10">
        <f t="shared" si="32"/>
        <v>121.11730854817593</v>
      </c>
      <c r="AR91" s="10">
        <f t="shared" si="33"/>
        <v>15.088577774699852</v>
      </c>
      <c r="AS91" s="10">
        <f t="shared" si="34"/>
        <v>22.833922610305272</v>
      </c>
      <c r="AT91" s="10">
        <f t="shared" si="35"/>
        <v>40.325861915799535</v>
      </c>
    </row>
    <row r="92" spans="25:46" x14ac:dyDescent="0.25">
      <c r="Y92" s="10">
        <v>90</v>
      </c>
      <c r="Z92" s="10">
        <f t="shared" si="25"/>
        <v>501.18723362727184</v>
      </c>
      <c r="AA92" s="10" t="str">
        <f t="shared" si="26"/>
        <v>3149.05226247286i</v>
      </c>
      <c r="AB92" s="10">
        <f>$T$6/'5. Current Sense Resistor'!$B$11</f>
        <v>100</v>
      </c>
      <c r="AD92" s="10" t="str">
        <f t="shared" si="21"/>
        <v>0.0210520310826818-0.128673422810467i</v>
      </c>
      <c r="AE92" s="10" t="str">
        <f t="shared" si="22"/>
        <v>0.999988843118082-0.00919522708925343i</v>
      </c>
      <c r="AF92" s="10" t="str">
        <f t="shared" si="27"/>
        <v>0.347353406723131-2.25289450039822i</v>
      </c>
      <c r="AG92" s="10">
        <f t="shared" si="28"/>
        <v>2.2795148648532018</v>
      </c>
      <c r="AH92" s="10">
        <f t="shared" si="18"/>
        <v>-1.4178199629585795</v>
      </c>
      <c r="AI92" s="10">
        <f t="shared" si="19"/>
        <v>-81.235099986921313</v>
      </c>
      <c r="AJ92" s="10">
        <f t="shared" si="20"/>
        <v>7.1568485721517749</v>
      </c>
      <c r="AL92" s="10" t="str">
        <f t="shared" si="23"/>
        <v>0.00689529168864723-0.0104420909818804i</v>
      </c>
      <c r="AM92" s="10" t="str">
        <f t="shared" si="24"/>
        <v>0.999876291434638-0.0109837636815685i</v>
      </c>
      <c r="AN92" s="10" t="str">
        <f t="shared" si="29"/>
        <v>-2.92884993604149+4.54314331881039i</v>
      </c>
      <c r="AO92" s="10">
        <f t="shared" si="30"/>
        <v>5.4053966702825536</v>
      </c>
      <c r="AP92" s="10">
        <f t="shared" si="31"/>
        <v>2.1434188719196992</v>
      </c>
      <c r="AQ92" s="10">
        <f t="shared" si="32"/>
        <v>122.80885508969072</v>
      </c>
      <c r="AR92" s="10">
        <f t="shared" si="33"/>
        <v>14.656551395550464</v>
      </c>
      <c r="AS92" s="10">
        <f t="shared" si="34"/>
        <v>21.813399967702239</v>
      </c>
      <c r="AT92" s="10">
        <f t="shared" si="35"/>
        <v>41.573755102769411</v>
      </c>
    </row>
    <row r="93" spans="25:46" x14ac:dyDescent="0.25">
      <c r="Y93" s="10">
        <v>91</v>
      </c>
      <c r="Z93" s="10">
        <f t="shared" si="25"/>
        <v>537.03179637025255</v>
      </c>
      <c r="AA93" s="10" t="str">
        <f t="shared" si="26"/>
        <v>3374.27029244183i</v>
      </c>
      <c r="AB93" s="10">
        <f>$T$6/'5. Current Sense Resistor'!$B$11</f>
        <v>100</v>
      </c>
      <c r="AD93" s="10" t="str">
        <f t="shared" si="21"/>
        <v>0.0189020032072715-0.120348763616394i</v>
      </c>
      <c r="AE93" s="10" t="str">
        <f t="shared" si="22"/>
        <v>0.999987190184955-0.00985286246632953i</v>
      </c>
      <c r="AF93" s="10" t="str">
        <f t="shared" si="27"/>
        <v>0.309719952101421-2.10722833582046i</v>
      </c>
      <c r="AG93" s="10">
        <f t="shared" si="28"/>
        <v>2.1298680024861567</v>
      </c>
      <c r="AH93" s="10">
        <f t="shared" si="18"/>
        <v>-1.4248614426325772</v>
      </c>
      <c r="AI93" s="10">
        <f t="shared" si="19"/>
        <v>-81.638547053768534</v>
      </c>
      <c r="AJ93" s="10">
        <f t="shared" si="20"/>
        <v>6.5670537817492214</v>
      </c>
      <c r="AL93" s="10" t="str">
        <f t="shared" si="23"/>
        <v>0.00688112558678556-0.00974526532711275i</v>
      </c>
      <c r="AM93" s="10" t="str">
        <f t="shared" si="24"/>
        <v>0.999857966231653-0.0117690936736519i</v>
      </c>
      <c r="AN93" s="10" t="str">
        <f t="shared" si="29"/>
        <v>-2.92267668704196+4.24434201780924i</v>
      </c>
      <c r="AO93" s="10">
        <f t="shared" si="30"/>
        <v>5.1532977966657016</v>
      </c>
      <c r="AP93" s="10">
        <f t="shared" si="31"/>
        <v>2.1738338787666454</v>
      </c>
      <c r="AQ93" s="10">
        <f t="shared" si="32"/>
        <v>124.55150661588223</v>
      </c>
      <c r="AR93" s="10">
        <f t="shared" si="33"/>
        <v>14.241704800363335</v>
      </c>
      <c r="AS93" s="10">
        <f t="shared" si="34"/>
        <v>20.808758582112556</v>
      </c>
      <c r="AT93" s="10">
        <f t="shared" si="35"/>
        <v>42.912959562113699</v>
      </c>
    </row>
    <row r="94" spans="25:46" x14ac:dyDescent="0.25">
      <c r="Y94" s="10">
        <v>92</v>
      </c>
      <c r="Z94" s="10">
        <f t="shared" si="25"/>
        <v>575.43993733715661</v>
      </c>
      <c r="AA94" s="10" t="str">
        <f t="shared" si="26"/>
        <v>3615.59575944116i</v>
      </c>
      <c r="AB94" s="10">
        <f>$T$6/'5. Current Sense Resistor'!$B$11</f>
        <v>100</v>
      </c>
      <c r="AD94" s="10" t="str">
        <f t="shared" si="21"/>
        <v>0.0170216977239362-0.112531258425601i</v>
      </c>
      <c r="AE94" s="10" t="str">
        <f t="shared" si="22"/>
        <v>0.999985292363588-0.0105575312669924i</v>
      </c>
      <c r="AF94" s="10" t="str">
        <f t="shared" si="27"/>
        <v>0.276807606567355-1.97044249060673i</v>
      </c>
      <c r="AG94" s="10">
        <f t="shared" si="28"/>
        <v>1.9897904562646791</v>
      </c>
      <c r="AH94" s="10">
        <f t="shared" si="18"/>
        <v>-1.4312297204191156</v>
      </c>
      <c r="AI94" s="10">
        <f t="shared" si="19"/>
        <v>-82.003422493704093</v>
      </c>
      <c r="AJ94" s="10">
        <f t="shared" si="20"/>
        <v>5.9761468701079696</v>
      </c>
      <c r="AL94" s="10" t="str">
        <f t="shared" si="23"/>
        <v>0.00686878709856406-0.00909492377267558i</v>
      </c>
      <c r="AM94" s="10" t="str">
        <f t="shared" si="24"/>
        <v>0.999836926932762-0.0126105390069709i</v>
      </c>
      <c r="AN94" s="10" t="str">
        <f t="shared" si="29"/>
        <v>-2.91728524034143+3.96578580906097i</v>
      </c>
      <c r="AO94" s="10">
        <f t="shared" si="30"/>
        <v>4.9232113764151268</v>
      </c>
      <c r="AP94" s="10">
        <f t="shared" si="31"/>
        <v>2.2050262620480257</v>
      </c>
      <c r="AQ94" s="10">
        <f t="shared" si="32"/>
        <v>126.33869853085976</v>
      </c>
      <c r="AR94" s="10">
        <f t="shared" si="33"/>
        <v>13.844969649194594</v>
      </c>
      <c r="AS94" s="10">
        <f t="shared" si="34"/>
        <v>19.821116519302564</v>
      </c>
      <c r="AT94" s="10">
        <f t="shared" si="35"/>
        <v>44.335276037155666</v>
      </c>
    </row>
    <row r="95" spans="25:46" x14ac:dyDescent="0.25">
      <c r="Y95" s="10">
        <v>93</v>
      </c>
      <c r="Z95" s="10">
        <f t="shared" si="25"/>
        <v>616.59500186148216</v>
      </c>
      <c r="AA95" s="10" t="str">
        <f t="shared" si="26"/>
        <v>3874.18065617643i</v>
      </c>
      <c r="AB95" s="10">
        <f>$T$6/'5. Current Sense Resistor'!$B$11</f>
        <v>100</v>
      </c>
      <c r="AD95" s="10" t="str">
        <f t="shared" si="21"/>
        <v>0.0153781379705251-0.105195876949651i</v>
      </c>
      <c r="AE95" s="10" t="str">
        <f t="shared" si="22"/>
        <v>0.999983113372833-0.0113125972425786i</v>
      </c>
      <c r="AF95" s="10" t="str">
        <f t="shared" si="27"/>
        <v>0.248039155561738-1.84209907740033i</v>
      </c>
      <c r="AG95" s="10">
        <f t="shared" si="28"/>
        <v>1.8587233343483176</v>
      </c>
      <c r="AH95" s="10">
        <f t="shared" si="18"/>
        <v>-1.4369510757206925</v>
      </c>
      <c r="AI95" s="10">
        <f t="shared" si="19"/>
        <v>-82.331232005579253</v>
      </c>
      <c r="AJ95" s="10">
        <f t="shared" si="20"/>
        <v>5.3842950218206385</v>
      </c>
      <c r="AL95" s="10" t="str">
        <f t="shared" si="23"/>
        <v>0.00685804047476789-0.00848796857316505i</v>
      </c>
      <c r="AM95" s="10" t="str">
        <f t="shared" si="24"/>
        <v>0.999812771705043-0.0135121012923278i</v>
      </c>
      <c r="AN95" s="10" t="str">
        <f t="shared" si="29"/>
        <v>-2.91257258302786+3.70614783866835i</v>
      </c>
      <c r="AO95" s="10">
        <f t="shared" si="30"/>
        <v>4.7136621488468666</v>
      </c>
      <c r="AP95" s="10">
        <f t="shared" si="31"/>
        <v>2.2368655343876012</v>
      </c>
      <c r="AQ95" s="10">
        <f t="shared" si="32"/>
        <v>128.16295445868505</v>
      </c>
      <c r="AR95" s="10">
        <f t="shared" si="33"/>
        <v>13.467169026007502</v>
      </c>
      <c r="AS95" s="10">
        <f t="shared" si="34"/>
        <v>18.851464047828141</v>
      </c>
      <c r="AT95" s="10">
        <f t="shared" si="35"/>
        <v>45.831722453105797</v>
      </c>
    </row>
    <row r="96" spans="25:46" x14ac:dyDescent="0.25">
      <c r="Y96" s="10">
        <v>94</v>
      </c>
      <c r="Z96" s="10">
        <f t="shared" si="25"/>
        <v>660.69344800759518</v>
      </c>
      <c r="AA96" s="10" t="str">
        <f t="shared" si="26"/>
        <v>4151.25936507114i</v>
      </c>
      <c r="AB96" s="10">
        <f>$T$6/'5. Current Sense Resistor'!$B$11</f>
        <v>100</v>
      </c>
      <c r="AD96" s="10" t="str">
        <f t="shared" si="21"/>
        <v>0.0139421726508832-0.0983176815685758i</v>
      </c>
      <c r="AE96" s="10" t="str">
        <f t="shared" si="22"/>
        <v>0.999980611556339-0.0121216647068894i</v>
      </c>
      <c r="AF96" s="10" t="str">
        <f t="shared" si="27"/>
        <v>0.222904342012609-1.72176184762072i</v>
      </c>
      <c r="AG96" s="10">
        <f t="shared" si="28"/>
        <v>1.7361308146595373</v>
      </c>
      <c r="AH96" s="10">
        <f t="shared" si="18"/>
        <v>-1.4420494984910792</v>
      </c>
      <c r="AI96" s="10">
        <f t="shared" si="19"/>
        <v>-82.623350112495814</v>
      </c>
      <c r="AJ96" s="10">
        <f t="shared" si="20"/>
        <v>4.7916489092563026</v>
      </c>
      <c r="AL96" s="10" t="str">
        <f t="shared" si="23"/>
        <v>0.00684868036722746-0.00792150783340634i</v>
      </c>
      <c r="AM96" s="10" t="str">
        <f t="shared" si="24"/>
        <v>0.999785039268532-0.0144780656362019i</v>
      </c>
      <c r="AN96" s="10" t="str">
        <f t="shared" si="29"/>
        <v>-2.90844866571972+3.46419100691981i</v>
      </c>
      <c r="AO96" s="10">
        <f t="shared" si="30"/>
        <v>4.5232392125058904</v>
      </c>
      <c r="AP96" s="10">
        <f t="shared" si="31"/>
        <v>2.2692070050229369</v>
      </c>
      <c r="AQ96" s="10">
        <f t="shared" si="32"/>
        <v>130.01598422933608</v>
      </c>
      <c r="AR96" s="10">
        <f t="shared" si="33"/>
        <v>13.108991122259404</v>
      </c>
      <c r="AS96" s="10">
        <f t="shared" si="34"/>
        <v>17.900640031515707</v>
      </c>
      <c r="AT96" s="10">
        <f t="shared" si="35"/>
        <v>47.39263411684027</v>
      </c>
    </row>
    <row r="97" spans="25:46" x14ac:dyDescent="0.25">
      <c r="Y97" s="10">
        <v>95</v>
      </c>
      <c r="Z97" s="10">
        <f t="shared" si="25"/>
        <v>707.94578438413748</v>
      </c>
      <c r="AA97" s="10" t="str">
        <f t="shared" si="26"/>
        <v>4448.15455072214i</v>
      </c>
      <c r="AB97" s="10">
        <f>$T$6/'5. Current Sense Resistor'!$B$11</f>
        <v>100</v>
      </c>
      <c r="AD97" s="10" t="str">
        <f t="shared" si="21"/>
        <v>0.0126880822135786-0.091872095740691i</v>
      </c>
      <c r="AE97" s="10" t="str">
        <f t="shared" si="22"/>
        <v>0.999977739086186-0.0129885957385883i</v>
      </c>
      <c r="AF97" s="10" t="str">
        <f t="shared" si="27"/>
        <v>0.200952976469253-1.60900089081217i</v>
      </c>
      <c r="AG97" s="10">
        <f t="shared" si="28"/>
        <v>1.6215011456629345</v>
      </c>
      <c r="AH97" s="10">
        <f t="shared" si="18"/>
        <v>-1.4465466702161398</v>
      </c>
      <c r="AI97" s="10">
        <f t="shared" si="19"/>
        <v>-82.881019072087355</v>
      </c>
      <c r="AJ97" s="10">
        <f t="shared" si="20"/>
        <v>4.1983451971507204</v>
      </c>
      <c r="AL97" s="10" t="str">
        <f t="shared" si="23"/>
        <v>0.0068405279106079-0.00739284193926373i</v>
      </c>
      <c r="AM97" s="10" t="str">
        <f t="shared" si="24"/>
        <v>0.999753200116268-0.0155130202959565i</v>
      </c>
      <c r="AN97" s="10" t="str">
        <f t="shared" si="29"/>
        <v>-2.90483468441264+3.23876216233943i</v>
      </c>
      <c r="AO97" s="10">
        <f t="shared" si="30"/>
        <v>4.3505913262415561</v>
      </c>
      <c r="AP97" s="10">
        <f t="shared" si="31"/>
        <v>2.3018941798006276</v>
      </c>
      <c r="AQ97" s="10">
        <f t="shared" si="32"/>
        <v>131.88882138830422</v>
      </c>
      <c r="AR97" s="10">
        <f t="shared" si="33"/>
        <v>12.770965793209131</v>
      </c>
      <c r="AS97" s="10">
        <f t="shared" si="34"/>
        <v>16.969310990359851</v>
      </c>
      <c r="AT97" s="10">
        <f t="shared" si="35"/>
        <v>49.007802316216868</v>
      </c>
    </row>
    <row r="98" spans="25:46" x14ac:dyDescent="0.25">
      <c r="Y98" s="10">
        <v>96</v>
      </c>
      <c r="Z98" s="10">
        <f t="shared" si="25"/>
        <v>758.57757502918309</v>
      </c>
      <c r="AA98" s="10" t="str">
        <f t="shared" si="26"/>
        <v>4766.28347377928i</v>
      </c>
      <c r="AB98" s="10">
        <f>$T$6/'5. Current Sense Resistor'!$B$11</f>
        <v>100</v>
      </c>
      <c r="AD98" s="10" t="str">
        <f t="shared" si="21"/>
        <v>0.0115932131358632-0.0858351089682692i</v>
      </c>
      <c r="AE98" s="10" t="str">
        <f t="shared" si="22"/>
        <v>0.999974441048536-0.0139175286133353i</v>
      </c>
      <c r="AF98" s="10" t="str">
        <f t="shared" si="27"/>
        <v>0.181788535671271-1.50339622357385i</v>
      </c>
      <c r="AG98" s="10">
        <f t="shared" si="28"/>
        <v>1.5143471453922377</v>
      </c>
      <c r="AH98" s="10">
        <f t="shared" si="18"/>
        <v>-1.4504619597570672</v>
      </c>
      <c r="AI98" s="10">
        <f t="shared" si="19"/>
        <v>-83.105348638354215</v>
      </c>
      <c r="AJ98" s="10">
        <f t="shared" si="20"/>
        <v>3.6045088645311485</v>
      </c>
      <c r="AL98" s="10" t="str">
        <f t="shared" si="23"/>
        <v>0.0068334273086725-0.00689945086225913i</v>
      </c>
      <c r="AM98" s="10" t="str">
        <f t="shared" si="24"/>
        <v>0.999716646442244-0.0166218775982767i</v>
      </c>
      <c r="AN98" s="10" t="str">
        <f t="shared" si="29"/>
        <v>-2.90166157656221+3.02878667690448i</v>
      </c>
      <c r="AO98" s="10">
        <f t="shared" si="30"/>
        <v>4.1944235168961619</v>
      </c>
      <c r="AP98" s="10">
        <f t="shared" si="31"/>
        <v>2.334761770631177</v>
      </c>
      <c r="AQ98" s="10">
        <f t="shared" si="32"/>
        <v>133.77199562565761</v>
      </c>
      <c r="AR98" s="10">
        <f t="shared" si="33"/>
        <v>12.453445593472498</v>
      </c>
      <c r="AS98" s="10">
        <f t="shared" si="34"/>
        <v>16.057954458003646</v>
      </c>
      <c r="AT98" s="10">
        <f t="shared" si="35"/>
        <v>50.666646987303395</v>
      </c>
    </row>
    <row r="99" spans="25:46" x14ac:dyDescent="0.25">
      <c r="Y99" s="10">
        <v>97</v>
      </c>
      <c r="Z99" s="10">
        <f t="shared" si="25"/>
        <v>812.8305161640983</v>
      </c>
      <c r="AA99" s="10" t="str">
        <f t="shared" si="26"/>
        <v>5107.16475638946i</v>
      </c>
      <c r="AB99" s="10">
        <f>$T$6/'5. Current Sense Resistor'!$B$11</f>
        <v>100</v>
      </c>
      <c r="AD99" s="10" t="str">
        <f t="shared" si="21"/>
        <v>0.0106376416239031-0.0801834294352752i</v>
      </c>
      <c r="AE99" s="10" t="str">
        <f t="shared" si="22"/>
        <v>0.999970654393822-0.0149128975534768i</v>
      </c>
      <c r="AF99" s="10" t="str">
        <f t="shared" si="27"/>
        <v>0.165062276000116-1.40454046265176i</v>
      </c>
      <c r="AG99" s="10">
        <f t="shared" si="28"/>
        <v>1.4142063025543192</v>
      </c>
      <c r="AH99" s="10">
        <f t="shared" si="18"/>
        <v>-1.4538124301761965</v>
      </c>
      <c r="AI99" s="10">
        <f t="shared" si="19"/>
        <v>-83.297316452753748</v>
      </c>
      <c r="AJ99" s="10">
        <f t="shared" si="20"/>
        <v>3.0102553677967898</v>
      </c>
      <c r="AL99" s="10" t="str">
        <f t="shared" si="23"/>
        <v>0.00682724286019449-0.00643898228563535i</v>
      </c>
      <c r="AM99" s="10" t="str">
        <f t="shared" si="24"/>
        <v>0.999674680588601-0.0178098961785006i</v>
      </c>
      <c r="AN99" s="10" t="str">
        <f t="shared" si="29"/>
        <v>-2.89886870285137+2.83326337997294i</v>
      </c>
      <c r="AO99" s="10">
        <f t="shared" si="30"/>
        <v>4.053494928659326</v>
      </c>
      <c r="AP99" s="10">
        <f t="shared" si="31"/>
        <v>2.3676391773625323</v>
      </c>
      <c r="AQ99" s="10">
        <f t="shared" si="32"/>
        <v>135.65573227269925</v>
      </c>
      <c r="AR99" s="10">
        <f t="shared" si="33"/>
        <v>12.156592680127961</v>
      </c>
      <c r="AS99" s="10">
        <f t="shared" si="34"/>
        <v>15.16684804792475</v>
      </c>
      <c r="AT99" s="10">
        <f t="shared" si="35"/>
        <v>52.358415819945506</v>
      </c>
    </row>
    <row r="100" spans="25:46" x14ac:dyDescent="0.25">
      <c r="Y100" s="10">
        <v>98</v>
      </c>
      <c r="Z100" s="10">
        <f t="shared" si="25"/>
        <v>870.96358995608011</v>
      </c>
      <c r="AA100" s="10" t="str">
        <f t="shared" si="26"/>
        <v>5472.42563150043i</v>
      </c>
      <c r="AB100" s="10">
        <f>$T$6/'5. Current Sense Resistor'!$B$11</f>
        <v>100</v>
      </c>
      <c r="AD100" s="10" t="str">
        <f t="shared" si="21"/>
        <v>0.00980386694652673-0.0748945938549362i</v>
      </c>
      <c r="AE100" s="10" t="str">
        <f t="shared" si="22"/>
        <v>0.999966306731387-0.015979453889362i</v>
      </c>
      <c r="AF100" s="10" t="str">
        <f t="shared" si="27"/>
        <v>0.15046786561428-1.31204074914471i</v>
      </c>
      <c r="AG100" s="10">
        <f t="shared" si="28"/>
        <v>1.3206405665428911</v>
      </c>
      <c r="AH100" s="10">
        <f t="shared" si="18"/>
        <v>-1.4566128534418299</v>
      </c>
      <c r="AI100" s="10">
        <f t="shared" si="19"/>
        <v>-83.457768886724779</v>
      </c>
      <c r="AJ100" s="10">
        <f t="shared" si="20"/>
        <v>2.4156926701155474</v>
      </c>
      <c r="AL100" s="10" t="str">
        <f t="shared" si="23"/>
        <v>0.00682185636799129-0.00600924050188345i</v>
      </c>
      <c r="AM100" s="10" t="str">
        <f t="shared" si="24"/>
        <v>0.999626501796318-0.0190827045951603i</v>
      </c>
      <c r="AN100" s="10" t="str">
        <f t="shared" si="29"/>
        <v>-2.89640268959905+2.65125982948336i</v>
      </c>
      <c r="AO100" s="10">
        <f t="shared" si="30"/>
        <v>3.9266177842704204</v>
      </c>
      <c r="AP100" s="10">
        <f t="shared" si="31"/>
        <v>2.4003542581557507</v>
      </c>
      <c r="AQ100" s="10">
        <f t="shared" si="32"/>
        <v>137.53016832858017</v>
      </c>
      <c r="AR100" s="10">
        <f t="shared" si="33"/>
        <v>11.88037258481299</v>
      </c>
      <c r="AS100" s="10">
        <f t="shared" si="34"/>
        <v>14.296065254928537</v>
      </c>
      <c r="AT100" s="10">
        <f t="shared" si="35"/>
        <v>54.072399441855396</v>
      </c>
    </row>
    <row r="101" spans="25:46" x14ac:dyDescent="0.25">
      <c r="Y101" s="10">
        <v>99</v>
      </c>
      <c r="Z101" s="10">
        <f t="shared" si="25"/>
        <v>933.25430079699026</v>
      </c>
      <c r="AA101" s="10" t="str">
        <f t="shared" si="26"/>
        <v>5863.80971062981i</v>
      </c>
      <c r="AB101" s="10">
        <f>$T$6/'5. Current Sense Resistor'!$B$11</f>
        <v>100</v>
      </c>
      <c r="AD101" s="10" t="str">
        <f t="shared" si="21"/>
        <v>0.00907653371433323-0.0699470426267081i</v>
      </c>
      <c r="AE101" s="10" t="str">
        <f t="shared" si="22"/>
        <v>0.999961314945552-0.0171222887330441i</v>
      </c>
      <c r="AF101" s="10" t="str">
        <f t="shared" si="27"/>
        <v>0.137736523221246-1.22552006560328i</v>
      </c>
      <c r="AG101" s="10">
        <f t="shared" si="28"/>
        <v>1.2332358983687366</v>
      </c>
      <c r="AH101" s="10">
        <f t="shared" si="18"/>
        <v>-1.4588757305954241</v>
      </c>
      <c r="AI101" s="10">
        <f t="shared" si="19"/>
        <v>-83.587422197182306</v>
      </c>
      <c r="AJ101" s="10">
        <f t="shared" si="20"/>
        <v>1.8209231630702327</v>
      </c>
      <c r="AL101" s="10" t="str">
        <f t="shared" si="23"/>
        <v>0.00681716488179953-0.00560817603418204i</v>
      </c>
      <c r="AM101" s="10" t="str">
        <f t="shared" si="24"/>
        <v>0.999571191012852-0.0204463263687627i</v>
      </c>
      <c r="AN101" s="10" t="str">
        <f t="shared" si="29"/>
        <v>-2.89421640980769+2.48190790002337i</v>
      </c>
      <c r="AO101" s="10">
        <f t="shared" si="30"/>
        <v>3.8126572690183589</v>
      </c>
      <c r="AP101" s="10">
        <f t="shared" si="31"/>
        <v>2.4327371746166673</v>
      </c>
      <c r="AQ101" s="10">
        <f t="shared" si="32"/>
        <v>139.38557277011543</v>
      </c>
      <c r="AR101" s="10">
        <f t="shared" si="33"/>
        <v>11.624555340385481</v>
      </c>
      <c r="AS101" s="10">
        <f t="shared" si="34"/>
        <v>13.445478503455714</v>
      </c>
      <c r="AT101" s="10">
        <f t="shared" si="35"/>
        <v>55.798150572933125</v>
      </c>
    </row>
    <row r="102" spans="25:46" x14ac:dyDescent="0.25">
      <c r="Y102" s="10">
        <v>100</v>
      </c>
      <c r="Z102" s="10">
        <f t="shared" si="25"/>
        <v>999.99999999999977</v>
      </c>
      <c r="AA102" s="10" t="str">
        <f t="shared" si="26"/>
        <v>6283.18530717958i</v>
      </c>
      <c r="AB102" s="10">
        <f>$T$6/'5. Current Sense Resistor'!$B$11</f>
        <v>100</v>
      </c>
      <c r="AD102" s="10" t="str">
        <f t="shared" si="21"/>
        <v>0.00844218180942875-0.0653201671201633i</v>
      </c>
      <c r="AE102" s="10" t="str">
        <f t="shared" si="22"/>
        <v>0.999955583606635-0.0183468572722927i</v>
      </c>
      <c r="AF102" s="10" t="str">
        <f t="shared" si="27"/>
        <v>0.12663264082176-1.14461806536102i</v>
      </c>
      <c r="AG102" s="10">
        <f t="shared" si="28"/>
        <v>1.1516016417460933</v>
      </c>
      <c r="AH102" s="10">
        <f t="shared" si="18"/>
        <v>-1.4606113155759357</v>
      </c>
      <c r="AI102" s="10">
        <f t="shared" si="19"/>
        <v>-83.686863891551923</v>
      </c>
      <c r="AJ102" s="10">
        <f t="shared" si="20"/>
        <v>1.2260455069058955</v>
      </c>
      <c r="AL102" s="10" t="str">
        <f t="shared" si="23"/>
        <v>0.00681307873203086-0.00523387593663469i</v>
      </c>
      <c r="AM102" s="10" t="str">
        <f t="shared" si="24"/>
        <v>0.999507693475161-0.0219072064860989i</v>
      </c>
      <c r="AN102" s="10" t="str">
        <f t="shared" si="29"/>
        <v>-2.89226808347775+2.3243996683942i</v>
      </c>
      <c r="AO102" s="10">
        <f t="shared" si="30"/>
        <v>3.7105321026956664</v>
      </c>
      <c r="AP102" s="10">
        <f t="shared" si="31"/>
        <v>2.4646240899933973</v>
      </c>
      <c r="AQ102" s="10">
        <f t="shared" si="32"/>
        <v>141.21255844289286</v>
      </c>
      <c r="AR102" s="10">
        <f t="shared" si="33"/>
        <v>11.388723867202565</v>
      </c>
      <c r="AS102" s="10">
        <f t="shared" si="34"/>
        <v>12.614769374108461</v>
      </c>
      <c r="AT102" s="10">
        <f t="shared" si="35"/>
        <v>57.525694551340933</v>
      </c>
    </row>
    <row r="103" spans="25:46" x14ac:dyDescent="0.25">
      <c r="Y103" s="10">
        <v>101</v>
      </c>
      <c r="Z103" s="10">
        <f t="shared" si="25"/>
        <v>1071.5193052376057</v>
      </c>
      <c r="AA103" s="10" t="str">
        <f t="shared" si="26"/>
        <v>6732.5543550282i</v>
      </c>
      <c r="AB103" s="10">
        <f>$T$6/'5. Current Sense Resistor'!$B$11</f>
        <v>100</v>
      </c>
      <c r="AD103" s="10" t="str">
        <f t="shared" si="21"/>
        <v>0.0078890222904156-0.060994334779529i</v>
      </c>
      <c r="AE103" s="10" t="str">
        <f t="shared" si="22"/>
        <v>0.999949003146555-0.0196590048004957i</v>
      </c>
      <c r="AF103" s="10" t="str">
        <f t="shared" si="27"/>
        <v>0.116949861099095-1.06899151376671i</v>
      </c>
      <c r="AG103" s="10">
        <f t="shared" si="28"/>
        <v>1.0753697626939025</v>
      </c>
      <c r="AH103" s="10">
        <f t="shared" si="18"/>
        <v>-1.4618276414469422</v>
      </c>
      <c r="AI103" s="10">
        <f t="shared" si="19"/>
        <v>-83.756554230473171</v>
      </c>
      <c r="AJ103" s="10">
        <f t="shared" si="20"/>
        <v>0.63115641593330207</v>
      </c>
      <c r="AL103" s="10" t="str">
        <f t="shared" si="23"/>
        <v>0.00680951981696468-0.00488455473060399i</v>
      </c>
      <c r="AM103" s="10" t="str">
        <f t="shared" si="24"/>
        <v>0.999434798746829-0.0234722394005224i</v>
      </c>
      <c r="AN103" s="10" t="str">
        <f t="shared" si="29"/>
        <v>-2.89052048008611+2.17798357831004i</v>
      </c>
      <c r="AO103" s="10">
        <f t="shared" si="30"/>
        <v>3.6192155383709106</v>
      </c>
      <c r="AP103" s="10">
        <f t="shared" si="31"/>
        <v>2.4958605140084016</v>
      </c>
      <c r="AQ103" s="10">
        <f t="shared" si="32"/>
        <v>143.00227370603369</v>
      </c>
      <c r="AR103" s="10">
        <f t="shared" si="33"/>
        <v>11.172288956100074</v>
      </c>
      <c r="AS103" s="10">
        <f t="shared" si="34"/>
        <v>11.803445372033377</v>
      </c>
      <c r="AT103" s="10">
        <f t="shared" si="35"/>
        <v>59.24571947556052</v>
      </c>
    </row>
    <row r="104" spans="25:46" x14ac:dyDescent="0.25">
      <c r="Y104" s="10">
        <v>102</v>
      </c>
      <c r="Z104" s="10">
        <f t="shared" si="25"/>
        <v>1148.1536214968828</v>
      </c>
      <c r="AA104" s="10" t="str">
        <f t="shared" si="26"/>
        <v>7214.06196497425i</v>
      </c>
      <c r="AB104" s="10">
        <f>$T$6/'5. Current Sense Resistor'!$B$11</f>
        <v>100</v>
      </c>
      <c r="AD104" s="10" t="str">
        <f t="shared" si="21"/>
        <v>0.00740673738432929-0.0569508967707813i</v>
      </c>
      <c r="AE104" s="10" t="str">
        <f t="shared" si="22"/>
        <v>0.999941447764126-0.0210649946062369i</v>
      </c>
      <c r="AF104" s="10" t="str">
        <f t="shared" si="27"/>
        <v>0.108507576398567-0.998314423977116i</v>
      </c>
      <c r="AG104" s="10">
        <f t="shared" si="28"/>
        <v>1.0041939968236475</v>
      </c>
      <c r="AH104" s="10">
        <f t="shared" si="18"/>
        <v>-1.4625305482780289</v>
      </c>
      <c r="AI104" s="10">
        <f t="shared" si="19"/>
        <v>-83.796827825285348</v>
      </c>
      <c r="AJ104" s="10">
        <f t="shared" si="20"/>
        <v>3.6352415768421201E-2</v>
      </c>
      <c r="AL104" s="10" t="str">
        <f t="shared" si="23"/>
        <v>0.00680642011074098-0.00455854593680253i</v>
      </c>
      <c r="AM104" s="10" t="str">
        <f t="shared" si="24"/>
        <v>0.999351117843064-0.0251487985439077i</v>
      </c>
      <c r="AN104" s="10" t="str">
        <f t="shared" si="29"/>
        <v>-2.88894020807263+2.04196086684841i</v>
      </c>
      <c r="AO104" s="10">
        <f t="shared" si="30"/>
        <v>3.5377365231965827</v>
      </c>
      <c r="AP104" s="10">
        <f t="shared" si="31"/>
        <v>2.5263041238365496</v>
      </c>
      <c r="AQ104" s="10">
        <f t="shared" si="32"/>
        <v>144.74656406232955</v>
      </c>
      <c r="AR104" s="10">
        <f t="shared" si="33"/>
        <v>10.974509704415023</v>
      </c>
      <c r="AS104" s="10">
        <f t="shared" si="34"/>
        <v>11.010862120183445</v>
      </c>
      <c r="AT104" s="10">
        <f t="shared" si="35"/>
        <v>60.949736237044206</v>
      </c>
    </row>
    <row r="105" spans="25:46" x14ac:dyDescent="0.25">
      <c r="Y105" s="10">
        <v>103</v>
      </c>
      <c r="Z105" s="10">
        <f t="shared" si="25"/>
        <v>1230.2687708123801</v>
      </c>
      <c r="AA105" s="10" t="str">
        <f t="shared" si="26"/>
        <v>7730.00666465024i</v>
      </c>
      <c r="AB105" s="10">
        <f>$T$6/'5. Current Sense Resistor'!$B$11</f>
        <v>100</v>
      </c>
      <c r="AD105" s="10" t="str">
        <f t="shared" si="21"/>
        <v>0.00698630258616648-0.0531721820618583i</v>
      </c>
      <c r="AE105" s="10" t="str">
        <f t="shared" si="22"/>
        <v>0.999932773020004-0.0225715378550973i</v>
      </c>
      <c r="AF105" s="10" t="str">
        <f t="shared" si="27"/>
        <v>0.101147814648512-0.932277955418345i</v>
      </c>
      <c r="AG105" s="10">
        <f t="shared" si="28"/>
        <v>0.93774893578568219</v>
      </c>
      <c r="AH105" s="10">
        <f t="shared" si="18"/>
        <v>-1.4627237124084171</v>
      </c>
      <c r="AI105" s="10">
        <f t="shared" si="19"/>
        <v>-83.80789531470991</v>
      </c>
      <c r="AJ105" s="10">
        <f t="shared" si="20"/>
        <v>-0.5582684008131058</v>
      </c>
      <c r="AL105" s="10" t="str">
        <f t="shared" si="23"/>
        <v>0.00680372036371631-0.00425429416509919i</v>
      </c>
      <c r="AM105" s="10" t="str">
        <f t="shared" si="24"/>
        <v>0.999255057026504-0.0269447673464012i</v>
      </c>
      <c r="AN105" s="10" t="str">
        <f t="shared" si="29"/>
        <v>-2.88749707784754+1.91568223620462i</v>
      </c>
      <c r="AO105" s="10">
        <f t="shared" si="30"/>
        <v>3.4651807751815804</v>
      </c>
      <c r="AP105" s="10">
        <f t="shared" si="31"/>
        <v>2.5558269416092134</v>
      </c>
      <c r="AQ105" s="10">
        <f t="shared" si="32"/>
        <v>146.43809692003703</v>
      </c>
      <c r="AR105" s="10">
        <f t="shared" si="33"/>
        <v>10.794517925368645</v>
      </c>
      <c r="AS105" s="10">
        <f t="shared" si="34"/>
        <v>10.236249524555539</v>
      </c>
      <c r="AT105" s="10">
        <f t="shared" si="35"/>
        <v>62.630201605327116</v>
      </c>
    </row>
    <row r="106" spans="25:46" x14ac:dyDescent="0.25">
      <c r="Y106" s="10">
        <v>104</v>
      </c>
      <c r="Z106" s="10">
        <f t="shared" si="25"/>
        <v>1318.2567385564053</v>
      </c>
      <c r="AA106" s="10" t="str">
        <f t="shared" si="26"/>
        <v>8282.85137078809i</v>
      </c>
      <c r="AB106" s="10">
        <f>$T$6/'5. Current Sense Resistor'!$B$11</f>
        <v>100</v>
      </c>
      <c r="AD106" s="10" t="str">
        <f t="shared" si="21"/>
        <v>0.00661982888198604-0.0496414811218918i</v>
      </c>
      <c r="AE106" s="10" t="str">
        <f t="shared" si="22"/>
        <v>0.999922813075289-0.0241858256056058i</v>
      </c>
      <c r="AF106" s="10" t="str">
        <f t="shared" si="27"/>
        <v>0.0947324774918615-0.870590130690639i</v>
      </c>
      <c r="AG106" s="10">
        <f t="shared" si="28"/>
        <v>0.8757290779388851</v>
      </c>
      <c r="AH106" s="10">
        <f t="shared" si="18"/>
        <v>-1.4624086772838818</v>
      </c>
      <c r="AI106" s="10">
        <f t="shared" si="19"/>
        <v>-83.789845131675648</v>
      </c>
      <c r="AJ106" s="10">
        <f t="shared" si="20"/>
        <v>-1.1526045924916066</v>
      </c>
      <c r="AL106" s="10" t="str">
        <f t="shared" si="23"/>
        <v>0.00680136897039717-0.00397034772621487i</v>
      </c>
      <c r="AM106" s="10" t="str">
        <f t="shared" si="24"/>
        <v>0.999144787799572-0.0288685717344373i</v>
      </c>
      <c r="AN106" s="10" t="str">
        <f t="shared" si="29"/>
        <v>-2.88616352624461+1.79854475518674i</v>
      </c>
      <c r="AO106" s="10">
        <f t="shared" si="30"/>
        <v>3.4006915674072014</v>
      </c>
      <c r="AP106" s="10">
        <f t="shared" si="31"/>
        <v>2.584316806939158</v>
      </c>
      <c r="AQ106" s="10">
        <f t="shared" si="32"/>
        <v>148.07044596233894</v>
      </c>
      <c r="AR106" s="10">
        <f t="shared" si="33"/>
        <v>10.631344890066574</v>
      </c>
      <c r="AS106" s="10">
        <f t="shared" si="34"/>
        <v>9.4787402975749675</v>
      </c>
      <c r="AT106" s="10">
        <f t="shared" si="35"/>
        <v>64.280600830663289</v>
      </c>
    </row>
    <row r="107" spans="25:46" x14ac:dyDescent="0.25">
      <c r="Y107" s="10">
        <v>105</v>
      </c>
      <c r="Z107" s="10">
        <f t="shared" si="25"/>
        <v>1412.5375446227531</v>
      </c>
      <c r="AA107" s="10" t="str">
        <f t="shared" si="26"/>
        <v>8875.23514621321i</v>
      </c>
      <c r="AB107" s="10">
        <f>$T$6/'5. Current Sense Resistor'!$B$11</f>
        <v>100</v>
      </c>
      <c r="AD107" s="10" t="str">
        <f t="shared" si="21"/>
        <v>0.00630042316615239-0.0463430218325933i</v>
      </c>
      <c r="AE107" s="10" t="str">
        <f t="shared" si="22"/>
        <v>0.999911377521005-0.0259155631112854i</v>
      </c>
      <c r="AF107" s="10" t="str">
        <f t="shared" si="27"/>
        <v>0.0891408968524902-0.812975416316514i</v>
      </c>
      <c r="AG107" s="10">
        <f t="shared" si="28"/>
        <v>0.81784786300795309</v>
      </c>
      <c r="AH107" s="10">
        <f t="shared" si="18"/>
        <v>-1.4615848865231404</v>
      </c>
      <c r="AI107" s="10">
        <f t="shared" si="19"/>
        <v>-83.742645397883308</v>
      </c>
      <c r="AJ107" s="10">
        <f t="shared" si="20"/>
        <v>-1.7465495354042617</v>
      </c>
      <c r="AL107" s="10" t="str">
        <f t="shared" si="23"/>
        <v>0.00679932098335898-0.00370535173161185i</v>
      </c>
      <c r="AM107" s="10" t="str">
        <f t="shared" si="24"/>
        <v>0.999018212554796-0.0309292140443463i</v>
      </c>
      <c r="AN107" s="10" t="str">
        <f t="shared" si="29"/>
        <v>-2.88491409154008+1.68998897571216i</v>
      </c>
      <c r="AO107" s="10">
        <f t="shared" si="30"/>
        <v>3.3434700617165931</v>
      </c>
      <c r="AP107" s="10">
        <f t="shared" si="31"/>
        <v>2.6116781403576792</v>
      </c>
      <c r="AQ107" s="10">
        <f t="shared" si="32"/>
        <v>149.63813488907044</v>
      </c>
      <c r="AR107" s="10">
        <f t="shared" si="33"/>
        <v>10.483948775396154</v>
      </c>
      <c r="AS107" s="10">
        <f t="shared" si="34"/>
        <v>8.7373992399918929</v>
      </c>
      <c r="AT107" s="10">
        <f t="shared" si="35"/>
        <v>65.895489491187135</v>
      </c>
    </row>
    <row r="108" spans="25:46" x14ac:dyDescent="0.25">
      <c r="Y108" s="10">
        <v>106</v>
      </c>
      <c r="Z108" s="10">
        <f t="shared" si="25"/>
        <v>1513.5612484362066</v>
      </c>
      <c r="AA108" s="10" t="str">
        <f t="shared" si="26"/>
        <v>9509.98579769076i</v>
      </c>
      <c r="AB108" s="10">
        <f>$T$6/'5. Current Sense Resistor'!$B$11</f>
        <v>100</v>
      </c>
      <c r="AD108" s="10" t="str">
        <f t="shared" si="21"/>
        <v>0.00602206501669712-0.0432619397096343i</v>
      </c>
      <c r="AE108" s="10" t="str">
        <f t="shared" si="22"/>
        <v>0.999898247737801-0.0277690065714539i</v>
      </c>
      <c r="AF108" s="10" t="str">
        <f t="shared" si="27"/>
        <v>0.0842676777948931-0.759174204063359i</v>
      </c>
      <c r="AG108" s="10">
        <f t="shared" si="28"/>
        <v>0.76383670613304422</v>
      </c>
      <c r="AH108" s="10">
        <f t="shared" si="18"/>
        <v>-1.4602497203529274</v>
      </c>
      <c r="AI108" s="10">
        <f t="shared" si="19"/>
        <v>-83.666146011381443</v>
      </c>
      <c r="AJ108" s="10">
        <f t="shared" si="20"/>
        <v>-2.3399895092514402</v>
      </c>
      <c r="AL108" s="10" t="str">
        <f t="shared" si="23"/>
        <v>0.00679753725433446-0.00345804164991718i</v>
      </c>
      <c r="AM108" s="10" t="str">
        <f t="shared" si="24"/>
        <v>0.998872925272631-0.0331363082464716i</v>
      </c>
      <c r="AN108" s="10" t="str">
        <f t="shared" si="29"/>
        <v>-2.88372492914945+1.58949625032455i</v>
      </c>
      <c r="AO108" s="10">
        <f t="shared" si="30"/>
        <v>3.2927750905268045</v>
      </c>
      <c r="AP108" s="10">
        <f t="shared" si="31"/>
        <v>2.6378320434729732</v>
      </c>
      <c r="AQ108" s="10">
        <f t="shared" si="32"/>
        <v>151.13664315537085</v>
      </c>
      <c r="AR108" s="10">
        <f t="shared" si="33"/>
        <v>10.351241354117171</v>
      </c>
      <c r="AS108" s="10">
        <f t="shared" si="34"/>
        <v>8.0112518448657308</v>
      </c>
      <c r="AT108" s="10">
        <f t="shared" si="35"/>
        <v>67.470497143989405</v>
      </c>
    </row>
    <row r="109" spans="25:46" x14ac:dyDescent="0.25">
      <c r="Y109" s="10">
        <v>107</v>
      </c>
      <c r="Z109" s="10">
        <f t="shared" si="25"/>
        <v>1621.8100973589292</v>
      </c>
      <c r="AA109" s="10" t="str">
        <f t="shared" si="26"/>
        <v>10190.1333747611i</v>
      </c>
      <c r="AB109" s="10">
        <f>$T$6/'5. Current Sense Resistor'!$B$11</f>
        <v>100</v>
      </c>
      <c r="AD109" s="10" t="str">
        <f t="shared" si="21"/>
        <v>0.00577949810983652-0.0403842441204053i</v>
      </c>
      <c r="AE109" s="10" t="str">
        <f t="shared" si="22"/>
        <v>0.999883172716301-0.029755002504872i</v>
      </c>
      <c r="AF109" s="10" t="str">
        <f t="shared" si="27"/>
        <v>0.0800207975841116-0.708942222370552i</v>
      </c>
      <c r="AG109" s="10">
        <f t="shared" si="28"/>
        <v>0.7134440431496325</v>
      </c>
      <c r="AH109" s="10">
        <f t="shared" si="18"/>
        <v>-1.4583985370674757</v>
      </c>
      <c r="AI109" s="10">
        <f t="shared" si="19"/>
        <v>-83.560081022019901</v>
      </c>
      <c r="AJ109" s="10">
        <f t="shared" si="20"/>
        <v>-2.932801676055556</v>
      </c>
      <c r="AL109" s="10" t="str">
        <f t="shared" si="23"/>
        <v>0.00679598368607962-0.00322723729016014i</v>
      </c>
      <c r="AM109" s="10" t="str">
        <f t="shared" si="24"/>
        <v>0.998706166576164-0.0355001163208704i</v>
      </c>
      <c r="AN109" s="10" t="str">
        <f t="shared" si="29"/>
        <v>-2.88257335893057+1.49658623743307i</v>
      </c>
      <c r="AO109" s="10">
        <f t="shared" si="30"/>
        <v>3.2479223413884672</v>
      </c>
      <c r="AP109" s="10">
        <f t="shared" si="31"/>
        <v>2.6627158195413965</v>
      </c>
      <c r="AQ109" s="10">
        <f t="shared" si="32"/>
        <v>152.56237850244017</v>
      </c>
      <c r="AR109" s="10">
        <f t="shared" si="33"/>
        <v>10.232112732136049</v>
      </c>
      <c r="AS109" s="10">
        <f t="shared" si="34"/>
        <v>7.2993110560804926</v>
      </c>
      <c r="AT109" s="10">
        <f t="shared" si="35"/>
        <v>69.002297480420268</v>
      </c>
    </row>
    <row r="110" spans="25:46" x14ac:dyDescent="0.25">
      <c r="Y110" s="10">
        <v>108</v>
      </c>
      <c r="Z110" s="10">
        <f t="shared" si="25"/>
        <v>1737.8008287493742</v>
      </c>
      <c r="AA110" s="10" t="str">
        <f t="shared" si="26"/>
        <v>10918.9246340026i</v>
      </c>
      <c r="AB110" s="10">
        <f>$T$6/'5. Current Sense Resistor'!$B$11</f>
        <v>100</v>
      </c>
      <c r="AD110" s="10" t="str">
        <f t="shared" si="21"/>
        <v>0.00556813468434072-0.0376967818445033i</v>
      </c>
      <c r="AE110" s="10" t="str">
        <f t="shared" si="22"/>
        <v>0.999865864258155-0.0318830299325485i</v>
      </c>
      <c r="AF110" s="10" t="str">
        <f t="shared" si="27"/>
        <v>0.0763199331215926-0.662049901460047i</v>
      </c>
      <c r="AG110" s="10">
        <f t="shared" si="28"/>
        <v>0.66643439603230437</v>
      </c>
      <c r="AH110" s="10">
        <f t="shared" si="18"/>
        <v>-1.4560247217335756</v>
      </c>
      <c r="AI110" s="10">
        <f t="shared" si="19"/>
        <v>-83.42407142204398</v>
      </c>
      <c r="AJ110" s="10">
        <f t="shared" si="20"/>
        <v>-3.5248519240562262</v>
      </c>
      <c r="AL110" s="10" t="str">
        <f t="shared" si="23"/>
        <v>0.00679463058073515-0.00301183718394717i</v>
      </c>
      <c r="AM110" s="10" t="str">
        <f t="shared" si="24"/>
        <v>0.998514772363357-0.0380315855578174i</v>
      </c>
      <c r="AN110" s="10" t="str">
        <f t="shared" si="29"/>
        <v>-2.88143743567753+1.41081458157626i</v>
      </c>
      <c r="AO110" s="10">
        <f t="shared" si="30"/>
        <v>3.2082829487612368</v>
      </c>
      <c r="AP110" s="10">
        <f t="shared" si="31"/>
        <v>2.6862820219908072</v>
      </c>
      <c r="AQ110" s="10">
        <f t="shared" si="32"/>
        <v>153.91262244194223</v>
      </c>
      <c r="AR110" s="10">
        <f t="shared" si="33"/>
        <v>10.125453262484292</v>
      </c>
      <c r="AS110" s="10">
        <f t="shared" si="34"/>
        <v>6.6006013384280662</v>
      </c>
      <c r="AT110" s="10">
        <f t="shared" si="35"/>
        <v>70.488551019898253</v>
      </c>
    </row>
    <row r="111" spans="25:46" x14ac:dyDescent="0.25">
      <c r="Y111" s="10">
        <v>109</v>
      </c>
      <c r="Z111" s="10">
        <f t="shared" si="25"/>
        <v>1862.0871366628671</v>
      </c>
      <c r="AA111" s="10" t="str">
        <f t="shared" si="26"/>
        <v>11699.8385377682i</v>
      </c>
      <c r="AB111" s="10">
        <f>$T$6/'5. Current Sense Resistor'!$B$11</f>
        <v>100</v>
      </c>
      <c r="AD111" s="10" t="str">
        <f t="shared" si="21"/>
        <v>0.00538397160080514-0.035187199043646i</v>
      </c>
      <c r="AE111" s="10" t="str">
        <f t="shared" si="22"/>
        <v>0.999845991466025-0.0341632455690379i</v>
      </c>
      <c r="AF111" s="10" t="str">
        <f t="shared" si="27"/>
        <v>0.0730949912835183-0.618281710815413i</v>
      </c>
      <c r="AG111" s="10">
        <f t="shared" si="28"/>
        <v>0.62258746508388008</v>
      </c>
      <c r="AH111" s="10">
        <f t="shared" si="18"/>
        <v>-1.453119744991902</v>
      </c>
      <c r="AI111" s="10">
        <f t="shared" si="19"/>
        <v>-83.257628515162423</v>
      </c>
      <c r="AJ111" s="10">
        <f t="shared" si="20"/>
        <v>-4.1159925493856395</v>
      </c>
      <c r="AL111" s="10" t="str">
        <f t="shared" si="23"/>
        <v>0.00679345207224284-0.0028108133404441i</v>
      </c>
      <c r="AM111" s="10" t="str">
        <f t="shared" si="24"/>
        <v>0.998295115139811-0.0407423864712768i</v>
      </c>
      <c r="AN111" s="10" t="str">
        <f t="shared" si="29"/>
        <v>-2.88029553490431+1.331770756523i</v>
      </c>
      <c r="AO111" s="10">
        <f t="shared" si="30"/>
        <v>3.1732815375127923</v>
      </c>
      <c r="AP111" s="10">
        <f t="shared" si="31"/>
        <v>2.7084971485737741</v>
      </c>
      <c r="AQ111" s="10">
        <f t="shared" si="32"/>
        <v>155.18545543649515</v>
      </c>
      <c r="AR111" s="10">
        <f t="shared" si="33"/>
        <v>10.030172099204034</v>
      </c>
      <c r="AS111" s="10">
        <f t="shared" si="34"/>
        <v>5.9141795498183942</v>
      </c>
      <c r="AT111" s="10">
        <f t="shared" si="35"/>
        <v>71.927826921332723</v>
      </c>
    </row>
    <row r="112" spans="25:46" x14ac:dyDescent="0.25">
      <c r="Y112" s="10">
        <v>110</v>
      </c>
      <c r="Z112" s="10">
        <f t="shared" si="25"/>
        <v>1995.2623149688786</v>
      </c>
      <c r="AA112" s="10" t="str">
        <f t="shared" si="26"/>
        <v>12536.6028613816i</v>
      </c>
      <c r="AB112" s="10">
        <f>$T$6/'5. Current Sense Resistor'!$B$11</f>
        <v>100</v>
      </c>
      <c r="AD112" s="10" t="str">
        <f t="shared" si="21"/>
        <v>0.00522351667441976-0.0328439024787386i</v>
      </c>
      <c r="AE112" s="10" t="str">
        <f t="shared" si="22"/>
        <v>0.999823174417158-0.0366065322354679i</v>
      </c>
      <c r="AF112" s="10" t="str">
        <f t="shared" si="27"/>
        <v>0.0702848190246995-0.577435483707424i</v>
      </c>
      <c r="AG112" s="10">
        <f t="shared" si="28"/>
        <v>0.58169725255476457</v>
      </c>
      <c r="AH112" s="10">
        <f t="shared" si="18"/>
        <v>-1.44967323551321</v>
      </c>
      <c r="AI112" s="10">
        <f t="shared" si="19"/>
        <v>-83.060158067981547</v>
      </c>
      <c r="AJ112" s="10">
        <f t="shared" si="20"/>
        <v>-4.7060597487231339</v>
      </c>
      <c r="AL112" s="10" t="str">
        <f t="shared" si="23"/>
        <v>0.00679242563197684-0.00262320634968574i</v>
      </c>
      <c r="AM112" s="10" t="str">
        <f t="shared" si="24"/>
        <v>0.998043037068453-0.0436449509075078i</v>
      </c>
      <c r="AN112" s="10" t="str">
        <f t="shared" si="29"/>
        <v>-2.87912594640131+1.25907605943039i</v>
      </c>
      <c r="AO112" s="10">
        <f t="shared" si="30"/>
        <v>3.142393791152216</v>
      </c>
      <c r="AP112" s="10">
        <f t="shared" si="31"/>
        <v>2.729340097292785</v>
      </c>
      <c r="AQ112" s="10">
        <f t="shared" si="32"/>
        <v>156.37966843070205</v>
      </c>
      <c r="AR112" s="10">
        <f t="shared" si="33"/>
        <v>9.9452121602799632</v>
      </c>
      <c r="AS112" s="10">
        <f t="shared" si="34"/>
        <v>5.2391524115568293</v>
      </c>
      <c r="AT112" s="10">
        <f t="shared" si="35"/>
        <v>73.319510362720507</v>
      </c>
    </row>
    <row r="113" spans="25:46" x14ac:dyDescent="0.25">
      <c r="Y113" s="10">
        <v>111</v>
      </c>
      <c r="Z113" s="10">
        <f t="shared" si="25"/>
        <v>2137.9620895022326</v>
      </c>
      <c r="AA113" s="10" t="str">
        <f t="shared" si="26"/>
        <v>13433.2119880674i</v>
      </c>
      <c r="AB113" s="10">
        <f>$T$6/'5. Current Sense Resistor'!$B$11</f>
        <v>100</v>
      </c>
      <c r="AD113" s="10" t="str">
        <f t="shared" si="21"/>
        <v>0.00508372408886673-0.030656020625167i</v>
      </c>
      <c r="AE113" s="10" t="str">
        <f t="shared" si="22"/>
        <v>0.999796976899511-0.0392245507223261i</v>
      </c>
      <c r="AF113" s="10" t="str">
        <f t="shared" si="27"/>
        <v>0.0678360723685951-0.539321740178201i</v>
      </c>
      <c r="AG113" s="10">
        <f t="shared" si="28"/>
        <v>0.54357122085632914</v>
      </c>
      <c r="AH113" s="10">
        <f t="shared" si="18"/>
        <v>-1.4456730704668486</v>
      </c>
      <c r="AI113" s="10">
        <f t="shared" si="19"/>
        <v>-82.830965493469279</v>
      </c>
      <c r="AJ113" s="10">
        <f t="shared" si="20"/>
        <v>-5.2948708972953327</v>
      </c>
      <c r="AL113" s="10" t="str">
        <f t="shared" si="23"/>
        <v>0.0067915316381493-0.00244812081129271i</v>
      </c>
      <c r="AM113" s="10" t="str">
        <f t="shared" si="24"/>
        <v>0.997753773637364-0.0467525097994399i</v>
      </c>
      <c r="AN113" s="10" t="str">
        <f t="shared" si="29"/>
        <v>-2.877906468321+1.1923817445734i</v>
      </c>
      <c r="AO113" s="10">
        <f t="shared" si="30"/>
        <v>3.115143634761607</v>
      </c>
      <c r="AP113" s="10">
        <f t="shared" si="31"/>
        <v>2.7488004900100687</v>
      </c>
      <c r="AQ113" s="10">
        <f t="shared" si="32"/>
        <v>157.49466680106954</v>
      </c>
      <c r="AR113" s="10">
        <f t="shared" si="33"/>
        <v>9.8695615229293381</v>
      </c>
      <c r="AS113" s="10">
        <f t="shared" si="34"/>
        <v>4.5746906256340054</v>
      </c>
      <c r="AT113" s="10">
        <f t="shared" si="35"/>
        <v>74.663701307600263</v>
      </c>
    </row>
    <row r="114" spans="25:46" x14ac:dyDescent="0.25">
      <c r="Y114" s="10">
        <v>112</v>
      </c>
      <c r="Z114" s="10">
        <f t="shared" si="25"/>
        <v>2290.8676527677708</v>
      </c>
      <c r="AA114" s="10" t="str">
        <f t="shared" si="26"/>
        <v>14393.9459765634i</v>
      </c>
      <c r="AB114" s="10">
        <f>$T$6/'5. Current Sense Resistor'!$B$11</f>
        <v>100</v>
      </c>
      <c r="AD114" s="10" t="str">
        <f t="shared" si="21"/>
        <v>0.0049619378211327-0.0286133651858751i</v>
      </c>
      <c r="AE114" s="10" t="str">
        <f t="shared" si="22"/>
        <v>0.999766898071547-0.0420297953458138i</v>
      </c>
      <c r="AF114" s="10" t="str">
        <f t="shared" si="27"/>
        <v>0.0657022255409155-0.503763017244958i</v>
      </c>
      <c r="AG114" s="10">
        <f t="shared" si="28"/>
        <v>0.50802948731818032</v>
      </c>
      <c r="AH114" s="10">
        <f t="shared" si="18"/>
        <v>-1.4411054892586064</v>
      </c>
      <c r="AI114" s="10">
        <f t="shared" si="19"/>
        <v>-82.569262367653735</v>
      </c>
      <c r="AJ114" s="10">
        <f t="shared" si="20"/>
        <v>-5.8822215886557441</v>
      </c>
      <c r="AL114" s="10" t="str">
        <f t="shared" si="23"/>
        <v>0.00679075300076459-0.00228472106714192i</v>
      </c>
      <c r="AM114" s="10" t="str">
        <f t="shared" si="24"/>
        <v>0.997421866724272-0.0500791298550469i</v>
      </c>
      <c r="AN114" s="10" t="str">
        <f t="shared" si="29"/>
        <v>-2.87661399472027+1.13136728532702i</v>
      </c>
      <c r="AO114" s="10">
        <f t="shared" si="30"/>
        <v>3.091100129230488</v>
      </c>
      <c r="AP114" s="10">
        <f t="shared" si="31"/>
        <v>2.766876953951015</v>
      </c>
      <c r="AQ114" s="10">
        <f t="shared" si="32"/>
        <v>158.5303718934062</v>
      </c>
      <c r="AR114" s="10">
        <f t="shared" si="33"/>
        <v>9.8022614656657225</v>
      </c>
      <c r="AS114" s="10">
        <f t="shared" si="34"/>
        <v>3.9200398770099785</v>
      </c>
      <c r="AT114" s="10">
        <f t="shared" si="35"/>
        <v>75.961109525752462</v>
      </c>
    </row>
    <row r="115" spans="25:46" x14ac:dyDescent="0.25">
      <c r="Y115" s="10">
        <v>113</v>
      </c>
      <c r="Z115" s="10">
        <f t="shared" si="25"/>
        <v>2454.708915685027</v>
      </c>
      <c r="AA115" s="10" t="str">
        <f t="shared" si="26"/>
        <v>15423.3909924349i</v>
      </c>
      <c r="AB115" s="10">
        <f>$T$6/'5. Current Sense Resistor'!$B$11</f>
        <v>100</v>
      </c>
      <c r="AD115" s="10" t="str">
        <f t="shared" si="21"/>
        <v>0.00485584212090874-0.0267063933793407i</v>
      </c>
      <c r="AE115" s="10" t="str">
        <f t="shared" si="22"/>
        <v>0.999732362886158-0.0450356534583207i</v>
      </c>
      <c r="AF115" s="10" t="str">
        <f t="shared" si="27"/>
        <v>0.0638427034962351-0.470593212942327i</v>
      </c>
      <c r="AG115" s="10">
        <f t="shared" si="28"/>
        <v>0.47490405647571649</v>
      </c>
      <c r="AH115" s="10">
        <f t="shared" si="18"/>
        <v>-1.4359552368000377</v>
      </c>
      <c r="AI115" s="10">
        <f t="shared" si="19"/>
        <v>-82.274174638350871</v>
      </c>
      <c r="AJ115" s="10">
        <f t="shared" si="20"/>
        <v>-6.4678824160035289</v>
      </c>
      <c r="AL115" s="10" t="str">
        <f t="shared" si="23"/>
        <v>0.00679007483495801-0.00213222721792087i</v>
      </c>
      <c r="AM115" s="10" t="str">
        <f t="shared" si="24"/>
        <v>0.997041065707532-0.0536397482682041i</v>
      </c>
      <c r="AN115" s="10" t="str">
        <f t="shared" si="29"/>
        <v>-2.87522408957495+1.07573875310413i</v>
      </c>
      <c r="AO115" s="10">
        <f t="shared" si="30"/>
        <v>3.0698741717213962</v>
      </c>
      <c r="AP115" s="10">
        <f t="shared" si="31"/>
        <v>2.7835754330652778</v>
      </c>
      <c r="AQ115" s="10">
        <f t="shared" si="32"/>
        <v>159.4871242709408</v>
      </c>
      <c r="AR115" s="10">
        <f t="shared" si="33"/>
        <v>9.7424114988142296</v>
      </c>
      <c r="AS115" s="10">
        <f t="shared" si="34"/>
        <v>3.2745290828107008</v>
      </c>
      <c r="AT115" s="10">
        <f t="shared" si="35"/>
        <v>77.212949632589925</v>
      </c>
    </row>
    <row r="116" spans="25:46" x14ac:dyDescent="0.25">
      <c r="Y116" s="10">
        <v>114</v>
      </c>
      <c r="Z116" s="10">
        <f t="shared" si="25"/>
        <v>2630.26799189538</v>
      </c>
      <c r="AA116" s="10" t="str">
        <f t="shared" si="26"/>
        <v>16526.4612006218i</v>
      </c>
      <c r="AB116" s="10">
        <f>$T$6/'5. Current Sense Resistor'!$B$11</f>
        <v>100</v>
      </c>
      <c r="AD116" s="10" t="str">
        <f t="shared" si="21"/>
        <v>0.0047634181931817-0.0249261712810642i</v>
      </c>
      <c r="AE116" s="10" t="str">
        <f t="shared" si="22"/>
        <v>0.999692711095534-0.0482564691913871i</v>
      </c>
      <c r="AF116" s="10" t="str">
        <f t="shared" si="27"/>
        <v>0.0622221229220226-0.439656949099365i</v>
      </c>
      <c r="AG116" s="10">
        <f t="shared" si="28"/>
        <v>0.4440380901142208</v>
      </c>
      <c r="AH116" s="10">
        <f t="shared" si="18"/>
        <v>-1.4302057436794597</v>
      </c>
      <c r="AI116" s="10">
        <f t="shared" si="19"/>
        <v>-81.944752948202265</v>
      </c>
      <c r="AJ116" s="10">
        <f t="shared" si="20"/>
        <v>-7.0515954798296443</v>
      </c>
      <c r="AL116" s="10" t="str">
        <f t="shared" si="23"/>
        <v>0.00678948417647798-0.00198991140479373i</v>
      </c>
      <c r="AM116" s="10" t="str">
        <f t="shared" si="24"/>
        <v>0.996604215141814-0.0574502042959671i</v>
      </c>
      <c r="AN116" s="10" t="str">
        <f t="shared" si="29"/>
        <v>-2.8737105403019+1.02522730180857i</v>
      </c>
      <c r="AO116" s="10">
        <f t="shared" si="30"/>
        <v>3.0511150895723222</v>
      </c>
      <c r="AP116" s="10">
        <f t="shared" si="31"/>
        <v>2.7989075827645591</v>
      </c>
      <c r="AQ116" s="10">
        <f t="shared" si="32"/>
        <v>160.36559173957238</v>
      </c>
      <c r="AR116" s="10">
        <f t="shared" si="33"/>
        <v>9.6891717950866525</v>
      </c>
      <c r="AS116" s="10">
        <f t="shared" si="34"/>
        <v>2.6375763152570082</v>
      </c>
      <c r="AT116" s="10">
        <f t="shared" si="35"/>
        <v>78.420838791370116</v>
      </c>
    </row>
    <row r="117" spans="25:46" x14ac:dyDescent="0.25">
      <c r="Y117" s="10">
        <v>115</v>
      </c>
      <c r="Z117" s="10">
        <f t="shared" si="25"/>
        <v>2818.3829312644511</v>
      </c>
      <c r="AA117" s="10" t="str">
        <f t="shared" si="26"/>
        <v>17708.4222237265i</v>
      </c>
      <c r="AB117" s="10">
        <f>$T$6/'5. Current Sense Resistor'!$B$11</f>
        <v>100</v>
      </c>
      <c r="AD117" s="10" t="str">
        <f t="shared" si="21"/>
        <v>0.0046829063283989-0.0232643384183357i</v>
      </c>
      <c r="AE117" s="10" t="str">
        <f t="shared" si="22"/>
        <v>0.99964718462666-0.051707611728408i</v>
      </c>
      <c r="AF117" s="10" t="str">
        <f t="shared" si="27"/>
        <v>0.0608096284790339-0.41080895636854i</v>
      </c>
      <c r="AG117" s="10">
        <f t="shared" si="28"/>
        <v>0.41528521469993013</v>
      </c>
      <c r="AH117" s="10">
        <f t="shared" si="18"/>
        <v>-1.4238393518019321</v>
      </c>
      <c r="AI117" s="10">
        <f t="shared" si="19"/>
        <v>-81.579985562893555</v>
      </c>
      <c r="AJ117" s="10">
        <f t="shared" si="20"/>
        <v>-7.6330706139468152</v>
      </c>
      <c r="AL117" s="10" t="str">
        <f t="shared" si="23"/>
        <v>0.00678896973387536-0.00185709433862748i</v>
      </c>
      <c r="AM117" s="10" t="str">
        <f t="shared" si="24"/>
        <v>0.996103127386273-0.0615272662481001i</v>
      </c>
      <c r="AN117" s="10" t="str">
        <f t="shared" si="29"/>
        <v>-2.87204488379572+0.979587746031435i</v>
      </c>
      <c r="AO117" s="10">
        <f t="shared" si="30"/>
        <v>3.0345072032724061</v>
      </c>
      <c r="AP117" s="10">
        <f t="shared" si="31"/>
        <v>2.8128892845492319</v>
      </c>
      <c r="AQ117" s="10">
        <f t="shared" si="32"/>
        <v>161.16668424224468</v>
      </c>
      <c r="AR117" s="10">
        <f t="shared" si="33"/>
        <v>9.6417634550022466</v>
      </c>
      <c r="AS117" s="10">
        <f t="shared" si="34"/>
        <v>2.0086928410554314</v>
      </c>
      <c r="AT117" s="10">
        <f t="shared" si="35"/>
        <v>79.58669867935113</v>
      </c>
    </row>
    <row r="118" spans="25:46" x14ac:dyDescent="0.25">
      <c r="Y118" s="10">
        <v>116</v>
      </c>
      <c r="Z118" s="10">
        <f t="shared" si="25"/>
        <v>3019.9517204020176</v>
      </c>
      <c r="AA118" s="10" t="str">
        <f t="shared" si="26"/>
        <v>18974.9162780217i</v>
      </c>
      <c r="AB118" s="10">
        <f>$T$6/'5. Current Sense Resistor'!$B$11</f>
        <v>100</v>
      </c>
      <c r="AD118" s="10" t="str">
        <f t="shared" si="21"/>
        <v>0.00461277281136203-0.0217130737552846i</v>
      </c>
      <c r="AE118" s="10" t="str">
        <f t="shared" si="22"/>
        <v>0.999594913085898-0.0554055484243345i</v>
      </c>
      <c r="AF118" s="10" t="str">
        <f t="shared" si="27"/>
        <v>0.0595783125536513-0.383913483926779i</v>
      </c>
      <c r="AG118" s="10">
        <f t="shared" si="28"/>
        <v>0.38850886536543505</v>
      </c>
      <c r="AH118" s="10">
        <f t="shared" si="18"/>
        <v>-1.4168375953215975</v>
      </c>
      <c r="AI118" s="10">
        <f t="shared" si="19"/>
        <v>-81.178814467392016</v>
      </c>
      <c r="AJ118" s="10">
        <f t="shared" si="20"/>
        <v>-8.211981332094819</v>
      </c>
      <c r="AL118" s="10" t="str">
        <f t="shared" si="23"/>
        <v>0.00678852167266515-0.00173314206037124i</v>
      </c>
      <c r="AM118" s="10" t="str">
        <f t="shared" si="24"/>
        <v>0.99552843845022-0.0658886520729265i</v>
      </c>
      <c r="AN118" s="10" t="str">
        <f t="shared" si="29"/>
        <v>-2.8701958979369+0.938597220671126i</v>
      </c>
      <c r="AO118" s="10">
        <f t="shared" si="30"/>
        <v>3.0197664206334522</v>
      </c>
      <c r="AP118" s="10">
        <f t="shared" si="31"/>
        <v>2.8255393024403008</v>
      </c>
      <c r="AQ118" s="10">
        <f t="shared" si="32"/>
        <v>161.89147687816791</v>
      </c>
      <c r="AR118" s="10">
        <f t="shared" si="33"/>
        <v>9.5994670303141199</v>
      </c>
      <c r="AS118" s="10">
        <f t="shared" si="34"/>
        <v>1.3874856982193009</v>
      </c>
      <c r="AT118" s="10">
        <f t="shared" si="35"/>
        <v>80.712662410775891</v>
      </c>
    </row>
    <row r="119" spans="25:46" x14ac:dyDescent="0.25">
      <c r="Y119" s="10">
        <v>117</v>
      </c>
      <c r="Z119" s="10">
        <f t="shared" si="25"/>
        <v>3235.9365692962774</v>
      </c>
      <c r="AA119" s="10" t="str">
        <f t="shared" si="26"/>
        <v>20331.9891071675i</v>
      </c>
      <c r="AB119" s="10">
        <f>$T$6/'5. Current Sense Resistor'!$B$11</f>
        <v>100</v>
      </c>
      <c r="AD119" s="10" t="str">
        <f t="shared" si="21"/>
        <v>0.00455168101814112-0.0202650631555695i</v>
      </c>
      <c r="AE119" s="10" t="str">
        <f t="shared" si="22"/>
        <v>0.9995348971153-0.0593679231107643i</v>
      </c>
      <c r="AF119" s="10" t="str">
        <f t="shared" si="27"/>
        <v>0.0585047081628447-0.35884373540117i</v>
      </c>
      <c r="AG119" s="10">
        <f t="shared" si="28"/>
        <v>0.36358166526089364</v>
      </c>
      <c r="AH119" s="10">
        <f t="shared" si="18"/>
        <v>-1.4091815479524514</v>
      </c>
      <c r="AI119" s="10">
        <f t="shared" si="19"/>
        <v>-80.740155265387699</v>
      </c>
      <c r="AJ119" s="10">
        <f t="shared" si="20"/>
        <v>-8.7879605110250019</v>
      </c>
      <c r="AL119" s="10" t="str">
        <f t="shared" si="23"/>
        <v>0.00678813142733562-0.00161746291725498i</v>
      </c>
      <c r="AM119" s="10" t="str">
        <f t="shared" si="24"/>
        <v>0.994869445215108-0.0705530412867974i</v>
      </c>
      <c r="AN119" s="10" t="str">
        <f t="shared" si="29"/>
        <v>-2.86812905148562+0.902053908863347i</v>
      </c>
      <c r="AO119" s="10">
        <f t="shared" si="30"/>
        <v>3.0066369103154851</v>
      </c>
      <c r="AP119" s="10">
        <f t="shared" si="31"/>
        <v>2.8368780913718359</v>
      </c>
      <c r="AQ119" s="10">
        <f t="shared" si="32"/>
        <v>162.54114162873452</v>
      </c>
      <c r="AR119" s="10">
        <f t="shared" si="33"/>
        <v>9.561619693587037</v>
      </c>
      <c r="AS119" s="10">
        <f t="shared" si="34"/>
        <v>0.77365918256203514</v>
      </c>
      <c r="AT119" s="10">
        <f t="shared" si="35"/>
        <v>81.800986363346823</v>
      </c>
    </row>
    <row r="120" spans="25:46" x14ac:dyDescent="0.25">
      <c r="Y120" s="10">
        <v>118</v>
      </c>
      <c r="Z120" s="10">
        <f t="shared" si="25"/>
        <v>3467.368504525316</v>
      </c>
      <c r="AA120" s="10" t="str">
        <f t="shared" si="26"/>
        <v>21786.1188422107i</v>
      </c>
      <c r="AB120" s="10">
        <f>$T$6/'5. Current Sense Resistor'!$B$11</f>
        <v>100</v>
      </c>
      <c r="AD120" s="10" t="str">
        <f t="shared" si="21"/>
        <v>0.00449846618030479-0.0189134683710729i</v>
      </c>
      <c r="AE120" s="10" t="str">
        <f t="shared" si="22"/>
        <v>0.999465989282154-0.0636136399471258i</v>
      </c>
      <c r="AF120" s="10" t="str">
        <f t="shared" si="27"/>
        <v>0.0575683458748576-0.335481331890898i</v>
      </c>
      <c r="AG120" s="10">
        <f t="shared" si="28"/>
        <v>0.34038483881344961</v>
      </c>
      <c r="AH120" s="10">
        <f t="shared" si="18"/>
        <v>-1.4008522489301551</v>
      </c>
      <c r="AI120" s="10">
        <f t="shared" si="19"/>
        <v>-80.262921585107676</v>
      </c>
      <c r="AJ120" s="10">
        <f t="shared" si="20"/>
        <v>-9.3605958440342523</v>
      </c>
      <c r="AL120" s="10" t="str">
        <f t="shared" si="23"/>
        <v>0.00678779153761257-0.00150950474047938i</v>
      </c>
      <c r="AM120" s="10" t="str">
        <f t="shared" si="24"/>
        <v>0.994113922114416-0.0755400754699815i</v>
      </c>
      <c r="AN120" s="10" t="str">
        <f t="shared" si="29"/>
        <v>-2.86580590528304+0.869775824030695i</v>
      </c>
      <c r="AO120" s="10">
        <f t="shared" si="30"/>
        <v>2.9948878895249855</v>
      </c>
      <c r="AP120" s="10">
        <f t="shared" si="31"/>
        <v>2.8469267587948535</v>
      </c>
      <c r="AQ120" s="10">
        <f t="shared" si="32"/>
        <v>163.11688786180403</v>
      </c>
      <c r="AR120" s="10">
        <f t="shared" si="33"/>
        <v>9.5276113934584483</v>
      </c>
      <c r="AS120" s="10">
        <f t="shared" si="34"/>
        <v>0.16701554942419605</v>
      </c>
      <c r="AT120" s="10">
        <f t="shared" si="35"/>
        <v>82.853966276696354</v>
      </c>
    </row>
    <row r="121" spans="25:46" x14ac:dyDescent="0.25">
      <c r="Y121" s="10">
        <v>119</v>
      </c>
      <c r="Z121" s="10">
        <f t="shared" si="25"/>
        <v>3715.352290971724</v>
      </c>
      <c r="AA121" s="10" t="str">
        <f t="shared" si="26"/>
        <v>23344.2469256296i</v>
      </c>
      <c r="AB121" s="10">
        <f>$T$6/'5. Current Sense Resistor'!$B$11</f>
        <v>100</v>
      </c>
      <c r="AD121" s="10" t="str">
        <f t="shared" si="21"/>
        <v>0.00445211335822243-0.017651897574637i</v>
      </c>
      <c r="AE121" s="10" t="str">
        <f t="shared" si="22"/>
        <v>0.999386872135995-0.0681629532020928i</v>
      </c>
      <c r="AF121" s="10" t="str">
        <f t="shared" si="27"/>
        <v>0.0567513666986132-0.313715802427768i</v>
      </c>
      <c r="AG121" s="10">
        <f t="shared" si="28"/>
        <v>0.31880765724031601</v>
      </c>
      <c r="AH121" s="10">
        <f t="shared" ref="AH121:AH184" si="36">IMARGUMENT(AF121)</f>
        <v>-1.3918312208868271</v>
      </c>
      <c r="AI121" s="10">
        <f t="shared" ref="AI121:AI184" si="37">AH121/(PI())*180</f>
        <v>-79.746054751355828</v>
      </c>
      <c r="AJ121" s="10">
        <f t="shared" ref="AJ121:AJ184" si="38">20*LOG(AG121,10)</f>
        <v>-9.9294251221007492</v>
      </c>
      <c r="AL121" s="10" t="str">
        <f t="shared" si="23"/>
        <v>0.00678749550584965-0.0014087522110112i</v>
      </c>
      <c r="AM121" s="10" t="str">
        <f t="shared" si="24"/>
        <v>0.99324791532176-0.0808703439257835i</v>
      </c>
      <c r="AN121" s="10" t="str">
        <f t="shared" si="29"/>
        <v>-2.86318345779229+0.841599630465652i</v>
      </c>
      <c r="AO121" s="10">
        <f t="shared" si="30"/>
        <v>2.9843105486821133</v>
      </c>
      <c r="AP121" s="10">
        <f t="shared" si="31"/>
        <v>2.8557061744623233</v>
      </c>
      <c r="AQ121" s="10">
        <f t="shared" si="32"/>
        <v>163.61991132614108</v>
      </c>
      <c r="AR121" s="10">
        <f t="shared" si="33"/>
        <v>9.4968802805800934</v>
      </c>
      <c r="AS121" s="10">
        <f t="shared" si="34"/>
        <v>-0.43254484152065586</v>
      </c>
      <c r="AT121" s="10">
        <f t="shared" si="35"/>
        <v>83.87385657478525</v>
      </c>
    </row>
    <row r="122" spans="25:46" x14ac:dyDescent="0.25">
      <c r="Y122" s="10">
        <v>120</v>
      </c>
      <c r="Z122" s="10">
        <f t="shared" si="25"/>
        <v>3981.0717055349701</v>
      </c>
      <c r="AA122" s="10" t="str">
        <f t="shared" si="26"/>
        <v>25013.8112470457i</v>
      </c>
      <c r="AB122" s="10">
        <f>$T$6/'5. Current Sense Resistor'!$B$11</f>
        <v>100</v>
      </c>
      <c r="AD122" s="10" t="str">
        <f t="shared" si="21"/>
        <v>0.00441173822072685-0.0164743774315064i</v>
      </c>
      <c r="AE122" s="10" t="str">
        <f t="shared" si="22"/>
        <v>0.999296033013043-0.0730375633739717i</v>
      </c>
      <c r="AF122" s="10" t="str">
        <f t="shared" si="27"/>
        <v>0.0560381838630067-0.293444101810309i</v>
      </c>
      <c r="AG122" s="10">
        <f t="shared" si="28"/>
        <v>0.29874691452452384</v>
      </c>
      <c r="AH122" s="10">
        <f t="shared" si="36"/>
        <v>-1.382101093522724</v>
      </c>
      <c r="AI122" s="10">
        <f t="shared" si="37"/>
        <v>-79.188559519267969</v>
      </c>
      <c r="AJ122" s="10">
        <f t="shared" si="38"/>
        <v>-10.493931428785281</v>
      </c>
      <c r="AL122" s="10" t="str">
        <f t="shared" si="23"/>
        <v>0.00678723767281891-0.00131472440097931i</v>
      </c>
      <c r="AM122" s="10" t="str">
        <f t="shared" si="24"/>
        <v>0.992255512534868-0.0865653503578844i</v>
      </c>
      <c r="AN122" s="10" t="str">
        <f t="shared" si="29"/>
        <v>-2.86021342829263+0.817379485104509i</v>
      </c>
      <c r="AO122" s="10">
        <f t="shared" si="30"/>
        <v>2.9747151255297024</v>
      </c>
      <c r="AP122" s="10">
        <f t="shared" si="31"/>
        <v>2.8632362193361294</v>
      </c>
      <c r="AQ122" s="10">
        <f t="shared" si="32"/>
        <v>164.05135111695429</v>
      </c>
      <c r="AR122" s="10">
        <f t="shared" si="33"/>
        <v>9.468907634338029</v>
      </c>
      <c r="AS122" s="10">
        <f t="shared" si="34"/>
        <v>-1.025023794447252</v>
      </c>
      <c r="AT122" s="10">
        <f t="shared" si="35"/>
        <v>84.862791597686325</v>
      </c>
    </row>
    <row r="123" spans="25:46" x14ac:dyDescent="0.25">
      <c r="Y123" s="10">
        <v>121</v>
      </c>
      <c r="Z123" s="10">
        <f t="shared" si="25"/>
        <v>4265.7951880159226</v>
      </c>
      <c r="AA123" s="10" t="str">
        <f t="shared" si="26"/>
        <v>26802.781648779i</v>
      </c>
      <c r="AB123" s="10">
        <f>$T$6/'5. Current Sense Resistor'!$B$11</f>
        <v>100</v>
      </c>
      <c r="AD123" s="10" t="str">
        <f t="shared" si="21"/>
        <v>0.00437657027765566-0.0153753266864155i</v>
      </c>
      <c r="AE123" s="10" t="str">
        <f t="shared" si="22"/>
        <v>0.999191735105649-0.0782607200844754i</v>
      </c>
      <c r="AF123" s="10" t="str">
        <f t="shared" si="27"/>
        <v>0.0554151872645042-0.274570155437856i</v>
      </c>
      <c r="AG123" s="10">
        <f t="shared" si="28"/>
        <v>0.28010643198028939</v>
      </c>
      <c r="AH123" s="10">
        <f t="shared" si="36"/>
        <v>-1.3716463469867552</v>
      </c>
      <c r="AI123" s="10">
        <f t="shared" si="37"/>
        <v>-78.589546666877936</v>
      </c>
      <c r="AJ123" s="10">
        <f t="shared" si="38"/>
        <v>-11.053538370370795</v>
      </c>
      <c r="AL123" s="10" t="str">
        <f t="shared" si="23"/>
        <v>0.00678701310952777-0.00122697247899249i</v>
      </c>
      <c r="AM123" s="10" t="str">
        <f t="shared" si="24"/>
        <v>0.9911185865788-0.0926474555489954i</v>
      </c>
      <c r="AN123" s="10" t="str">
        <f t="shared" si="29"/>
        <v>-2.85684147158385+0.796985880995036i</v>
      </c>
      <c r="AO123" s="10">
        <f t="shared" si="30"/>
        <v>2.9659281326874409</v>
      </c>
      <c r="AP123" s="10">
        <f t="shared" si="31"/>
        <v>2.8695351623620078</v>
      </c>
      <c r="AQ123" s="10">
        <f t="shared" si="32"/>
        <v>164.41225396773049</v>
      </c>
      <c r="AR123" s="10">
        <f t="shared" si="33"/>
        <v>9.4432124688748171</v>
      </c>
      <c r="AS123" s="10">
        <f t="shared" si="34"/>
        <v>-1.6103259014959779</v>
      </c>
      <c r="AT123" s="10">
        <f t="shared" si="35"/>
        <v>85.822707300852557</v>
      </c>
    </row>
    <row r="124" spans="25:46" x14ac:dyDescent="0.25">
      <c r="Y124" s="10">
        <v>122</v>
      </c>
      <c r="Z124" s="10">
        <f t="shared" si="25"/>
        <v>4570.881896148745</v>
      </c>
      <c r="AA124" s="10" t="str">
        <f t="shared" si="26"/>
        <v>28719.697970735i</v>
      </c>
      <c r="AB124" s="10">
        <f>$T$6/'5. Current Sense Resistor'!$B$11</f>
        <v>100</v>
      </c>
      <c r="AD124" s="10" t="str">
        <f t="shared" si="21"/>
        <v>0.00434593825532314-0.0143495312300349i</v>
      </c>
      <c r="AE124" s="10" t="str">
        <f t="shared" si="22"/>
        <v>0.999071984242726-0.0838573322069855i</v>
      </c>
      <c r="AF124" s="10" t="str">
        <f t="shared" si="27"/>
        <v>0.0548704851183656-0.257004430541462i</v>
      </c>
      <c r="AG124" s="10">
        <f t="shared" si="28"/>
        <v>0.26279658950425128</v>
      </c>
      <c r="AH124" s="10">
        <f t="shared" si="36"/>
        <v>-1.3604541880216361</v>
      </c>
      <c r="AI124" s="10">
        <f t="shared" si="37"/>
        <v>-77.948283194537098</v>
      </c>
      <c r="AJ124" s="10">
        <f t="shared" si="38"/>
        <v>-11.607605504398499</v>
      </c>
      <c r="AL124" s="10" t="str">
        <f t="shared" si="23"/>
        <v>0.00678681752299482-0.00114507756847141i</v>
      </c>
      <c r="AM124" s="10" t="str">
        <f t="shared" si="24"/>
        <v>0.989816511324965-0.0991397900091631i</v>
      </c>
      <c r="AN124" s="10" t="str">
        <f t="shared" si="29"/>
        <v>-2.85300631897664+0.780304470371018i</v>
      </c>
      <c r="AO124" s="10">
        <f t="shared" si="30"/>
        <v>2.957789736036291</v>
      </c>
      <c r="AP124" s="10">
        <f t="shared" si="31"/>
        <v>2.8746191530910874</v>
      </c>
      <c r="AQ124" s="10">
        <f t="shared" si="32"/>
        <v>164.70354517959038</v>
      </c>
      <c r="AR124" s="10">
        <f t="shared" si="33"/>
        <v>9.4193459508586663</v>
      </c>
      <c r="AS124" s="10">
        <f t="shared" si="34"/>
        <v>-2.188259553539833</v>
      </c>
      <c r="AT124" s="10">
        <f t="shared" si="35"/>
        <v>86.755261985053281</v>
      </c>
    </row>
    <row r="125" spans="25:46" x14ac:dyDescent="0.25">
      <c r="Y125" s="10">
        <v>123</v>
      </c>
      <c r="Z125" s="10">
        <f t="shared" si="25"/>
        <v>4897.7881936844633</v>
      </c>
      <c r="AA125" s="10" t="str">
        <f t="shared" si="26"/>
        <v>30773.7108162359i</v>
      </c>
      <c r="AB125" s="10">
        <f>$T$6/'5. Current Sense Resistor'!$B$11</f>
        <v>100</v>
      </c>
      <c r="AD125" s="10" t="str">
        <f t="shared" si="21"/>
        <v>0.00431925734338996-0.0133921205988671i</v>
      </c>
      <c r="AE125" s="10" t="str">
        <f t="shared" si="22"/>
        <v>0.998934490744806-0.0898540857180076i</v>
      </c>
      <c r="AF125" s="10" t="str">
        <f t="shared" si="27"/>
        <v>0.0543936780153586-0.240663533041843i</v>
      </c>
      <c r="AG125" s="10">
        <f t="shared" si="28"/>
        <v>0.24673388163002816</v>
      </c>
      <c r="AH125" s="10">
        <f t="shared" si="36"/>
        <v>-1.3485155698350868</v>
      </c>
      <c r="AI125" s="10">
        <f t="shared" si="37"/>
        <v>-77.264250759229697</v>
      </c>
      <c r="AJ125" s="10">
        <f t="shared" si="38"/>
        <v>-12.155424177241832</v>
      </c>
      <c r="AL125" s="10" t="str">
        <f t="shared" si="23"/>
        <v>0.00678664717418316-0.00106864874880905i</v>
      </c>
      <c r="AM125" s="10" t="str">
        <f t="shared" si="24"/>
        <v>0.988325848882732-0.106066129395062i</v>
      </c>
      <c r="AN125" s="10" t="str">
        <f t="shared" si="29"/>
        <v>-2.84863884178599+0.767234842196998i</v>
      </c>
      <c r="AO125" s="10">
        <f t="shared" si="30"/>
        <v>2.9501512764624254</v>
      </c>
      <c r="AP125" s="10">
        <f t="shared" si="31"/>
        <v>2.8785018184254318</v>
      </c>
      <c r="AQ125" s="10">
        <f t="shared" si="32"/>
        <v>164.92600551651009</v>
      </c>
      <c r="AR125" s="10">
        <f t="shared" si="33"/>
        <v>9.396885721925397</v>
      </c>
      <c r="AS125" s="10">
        <f t="shared" si="34"/>
        <v>-2.7585384553164349</v>
      </c>
      <c r="AT125" s="10">
        <f t="shared" si="35"/>
        <v>87.661754757280391</v>
      </c>
    </row>
    <row r="126" spans="25:46" x14ac:dyDescent="0.25">
      <c r="Y126" s="10">
        <v>124</v>
      </c>
      <c r="Z126" s="10">
        <f t="shared" si="25"/>
        <v>5248.0746024977261</v>
      </c>
      <c r="AA126" s="10" t="str">
        <f t="shared" si="26"/>
        <v>32974.6252333961i</v>
      </c>
      <c r="AB126" s="10">
        <f>$T$6/'5. Current Sense Resistor'!$B$11</f>
        <v>100</v>
      </c>
      <c r="AD126" s="10" t="str">
        <f t="shared" si="21"/>
        <v>0.00429601807543554-0.0124985458559334i</v>
      </c>
      <c r="AE126" s="10" t="str">
        <f t="shared" si="22"/>
        <v>0.998776625622825-0.0962795697888278i</v>
      </c>
      <c r="AF126" s="10" t="str">
        <f t="shared" si="27"/>
        <v>0.0539756611713805-0.225469829148414i</v>
      </c>
      <c r="AG126" s="10">
        <f t="shared" si="28"/>
        <v>0.23184049658138392</v>
      </c>
      <c r="AH126" s="10">
        <f t="shared" si="36"/>
        <v>-1.3358263629185072</v>
      </c>
      <c r="AI126" s="10">
        <f t="shared" si="37"/>
        <v>-76.537212757541482</v>
      </c>
      <c r="AJ126" s="10">
        <f t="shared" si="38"/>
        <v>-12.696214033047738</v>
      </c>
      <c r="AL126" s="10" t="str">
        <f t="shared" si="23"/>
        <v>0.00678649880652301-0.000997321189848642i</v>
      </c>
      <c r="AM126" s="10" t="str">
        <f t="shared" si="24"/>
        <v>0.986620007730936-0.113450724179194i</v>
      </c>
      <c r="AN126" s="10" t="str">
        <f t="shared" si="29"/>
        <v>-2.84366103569142+0.757689225528945i</v>
      </c>
      <c r="AO126" s="10">
        <f t="shared" si="30"/>
        <v>2.9428729242684359</v>
      </c>
      <c r="AP126" s="10">
        <f t="shared" si="31"/>
        <v>2.8811939528292827</v>
      </c>
      <c r="AQ126" s="10">
        <f t="shared" si="32"/>
        <v>165.0802534557327</v>
      </c>
      <c r="AR126" s="10">
        <f t="shared" si="33"/>
        <v>9.3754301860593383</v>
      </c>
      <c r="AS126" s="10">
        <f t="shared" si="34"/>
        <v>-3.3207838469883999</v>
      </c>
      <c r="AT126" s="10">
        <f t="shared" si="35"/>
        <v>88.54304069819122</v>
      </c>
    </row>
    <row r="127" spans="25:46" x14ac:dyDescent="0.25">
      <c r="Y127" s="10">
        <v>125</v>
      </c>
      <c r="Z127" s="10">
        <f t="shared" si="25"/>
        <v>5623.4132519034893</v>
      </c>
      <c r="AA127" s="10" t="str">
        <f t="shared" si="26"/>
        <v>35332.947520559i</v>
      </c>
      <c r="AB127" s="10">
        <f>$T$6/'5. Current Sense Resistor'!$B$11</f>
        <v>100</v>
      </c>
      <c r="AD127" s="10" t="str">
        <f t="shared" si="21"/>
        <v>0.00427577663529853-0.0116645587951048i</v>
      </c>
      <c r="AE127" s="10" t="str">
        <f t="shared" si="22"/>
        <v>0.99859537028106-0.103164411663184i</v>
      </c>
      <c r="AF127" s="10" t="str">
        <f t="shared" si="27"/>
        <v>0.0536084511705845-0.211351090736829i</v>
      </c>
      <c r="AG127" s="10">
        <f t="shared" si="28"/>
        <v>0.21804391666028261</v>
      </c>
      <c r="AH127" s="10">
        <f t="shared" si="36"/>
        <v>-1.3223886782131353</v>
      </c>
      <c r="AI127" s="10">
        <f t="shared" si="37"/>
        <v>-75.767290137496175</v>
      </c>
      <c r="AJ127" s="10">
        <f t="shared" si="38"/>
        <v>-13.229120509343339</v>
      </c>
      <c r="AL127" s="10" t="str">
        <f t="shared" si="23"/>
        <v>0.00678636958365695-0.000930754410798774i</v>
      </c>
      <c r="AM127" s="10" t="str">
        <f t="shared" si="24"/>
        <v>0.984668872495353-0.121318073577265i</v>
      </c>
      <c r="AN127" s="10" t="str">
        <f t="shared" si="29"/>
        <v>-2.83798492740775+0.75159108607273i</v>
      </c>
      <c r="AO127" s="10">
        <f t="shared" si="30"/>
        <v>2.9358214538451688</v>
      </c>
      <c r="AP127" s="10">
        <f t="shared" si="31"/>
        <v>2.8827032929407506</v>
      </c>
      <c r="AQ127" s="10">
        <f t="shared" si="32"/>
        <v>165.16673227396961</v>
      </c>
      <c r="AR127" s="10">
        <f t="shared" si="33"/>
        <v>9.3545927962181086</v>
      </c>
      <c r="AS127" s="10">
        <f t="shared" si="34"/>
        <v>-3.8745277131252305</v>
      </c>
      <c r="AT127" s="10">
        <f t="shared" si="35"/>
        <v>89.399442136473439</v>
      </c>
    </row>
    <row r="128" spans="25:46" x14ac:dyDescent="0.25">
      <c r="Y128" s="10">
        <v>126</v>
      </c>
      <c r="Z128" s="10">
        <f t="shared" si="25"/>
        <v>6025.5958607435741</v>
      </c>
      <c r="AA128" s="10" t="str">
        <f t="shared" si="26"/>
        <v>37859.9353792262i</v>
      </c>
      <c r="AB128" s="10">
        <f>$T$6/'5. Current Sense Resistor'!$B$11</f>
        <v>100</v>
      </c>
      <c r="AD128" s="10" t="str">
        <f t="shared" si="21"/>
        <v>0.00425814640738952-0.0108861924092282i</v>
      </c>
      <c r="AE128" s="10" t="str">
        <f t="shared" si="22"/>
        <v>0.998387258759754-0.11054142089573i</v>
      </c>
      <c r="AF128" s="10" t="str">
        <f t="shared" si="27"/>
        <v>0.0532850339512399-0.198240163497124i</v>
      </c>
      <c r="AG128" s="10">
        <f t="shared" si="28"/>
        <v>0.20527653851950847</v>
      </c>
      <c r="AH128" s="10">
        <f t="shared" si="36"/>
        <v>-1.3082123357060302</v>
      </c>
      <c r="AI128" s="10">
        <f t="shared" si="37"/>
        <v>-74.955045542907143</v>
      </c>
      <c r="AJ128" s="10">
        <f t="shared" si="38"/>
        <v>-13.753213684167749</v>
      </c>
      <c r="AL128" s="10" t="str">
        <f t="shared" si="23"/>
        <v>0.00678625703521826-0.00086863065529473i</v>
      </c>
      <c r="AM128" s="10" t="str">
        <f t="shared" si="24"/>
        <v>0.982438407540566-0.129692632146566i</v>
      </c>
      <c r="AN128" s="10" t="str">
        <f t="shared" si="29"/>
        <v>-2.83151140939832+0.748873578981289i</v>
      </c>
      <c r="AO128" s="10">
        <f t="shared" si="30"/>
        <v>2.9288681258890961</v>
      </c>
      <c r="AP128" s="10">
        <f t="shared" si="31"/>
        <v>2.8830343694612917</v>
      </c>
      <c r="AQ128" s="10">
        <f t="shared" si="32"/>
        <v>165.18570156129249</v>
      </c>
      <c r="AR128" s="10">
        <f t="shared" si="33"/>
        <v>9.3339963548473328</v>
      </c>
      <c r="AS128" s="10">
        <f t="shared" si="34"/>
        <v>-4.419217329320416</v>
      </c>
      <c r="AT128" s="10">
        <f t="shared" si="35"/>
        <v>90.230656018385346</v>
      </c>
    </row>
    <row r="129" spans="25:46" x14ac:dyDescent="0.25">
      <c r="Y129" s="10">
        <v>127</v>
      </c>
      <c r="Z129" s="10">
        <f t="shared" si="25"/>
        <v>6456.5422903465496</v>
      </c>
      <c r="AA129" s="10" t="str">
        <f t="shared" si="26"/>
        <v>40567.6516538891i</v>
      </c>
      <c r="AB129" s="10">
        <f>$T$6/'5. Current Sense Resistor'!$B$11</f>
        <v>100</v>
      </c>
      <c r="AD129" s="10" t="str">
        <f t="shared" si="21"/>
        <v>0.00424279061211329-0.0101597425608847i</v>
      </c>
      <c r="AE129" s="10" t="str">
        <f t="shared" si="22"/>
        <v>0.998148311409421-0.118445743554753i</v>
      </c>
      <c r="AF129" s="10" t="str">
        <f t="shared" si="27"/>
        <v>0.0529992311747512-0.186074656823433i</v>
      </c>
      <c r="AG129" s="10">
        <f t="shared" si="28"/>
        <v>0.19347531216429933</v>
      </c>
      <c r="AH129" s="10">
        <f t="shared" si="36"/>
        <v>-1.2933164604060488</v>
      </c>
      <c r="AI129" s="10">
        <f t="shared" si="37"/>
        <v>-74.101574756065034</v>
      </c>
      <c r="AJ129" s="10">
        <f t="shared" si="38"/>
        <v>-14.267488879035428</v>
      </c>
      <c r="AL129" s="10" t="str">
        <f t="shared" si="23"/>
        <v>0.00678615900960524-0.000810653374865653i</v>
      </c>
      <c r="AM129" s="10" t="str">
        <f t="shared" si="24"/>
        <v>0.979890238543869-0.138598435794891i</v>
      </c>
      <c r="AN129" s="10" t="str">
        <f t="shared" si="29"/>
        <v>-2.82412901418788+0.749477816349202i</v>
      </c>
      <c r="AO129" s="10">
        <f t="shared" si="30"/>
        <v>2.9218866654915576</v>
      </c>
      <c r="AP129" s="10">
        <f t="shared" si="31"/>
        <v>2.8821884313629704</v>
      </c>
      <c r="AQ129" s="10">
        <f t="shared" si="32"/>
        <v>165.13723287852935</v>
      </c>
      <c r="AR129" s="10">
        <f t="shared" si="33"/>
        <v>9.313267329116826</v>
      </c>
      <c r="AS129" s="10">
        <f t="shared" si="34"/>
        <v>-4.9542215499186018</v>
      </c>
      <c r="AT129" s="10">
        <f t="shared" si="35"/>
        <v>91.035658122464312</v>
      </c>
    </row>
    <row r="130" spans="25:46" x14ac:dyDescent="0.25">
      <c r="Y130" s="10">
        <v>128</v>
      </c>
      <c r="Z130" s="10">
        <f t="shared" si="25"/>
        <v>6918.3097091893569</v>
      </c>
      <c r="AA130" s="10" t="str">
        <f t="shared" si="26"/>
        <v>43469.0219152964i</v>
      </c>
      <c r="AB130" s="10">
        <f>$T$6/'5. Current Sense Resistor'!$B$11</f>
        <v>100</v>
      </c>
      <c r="AD130" s="10" t="str">
        <f t="shared" ref="AD130:AD193" si="39">IMDIV(IMSUM(1,IMDIV(AA130,$W$3)),IMSUM(1,IMDIV(AA130,$W$5)))</f>
        <v>0.00422941588763799-0.0094817507943752i</v>
      </c>
      <c r="AE130" s="10" t="str">
        <f t="shared" ref="AE130:AE193" si="40">IMDIV(IMSUM(1,IMDIV(IMPRODUCT(-1,AA130),$W$4)),IMSUM(1,IMDIV(AA130,$W$1*$W$2),IMDIV(IMPOWER(AA130,2),$W$1^2)))</f>
        <v>0.997873958723804-0.126915027020478i</v>
      </c>
      <c r="AF130" s="10" t="str">
        <f t="shared" si="27"/>
        <v>0.052745582458341-0.174796654413919i</v>
      </c>
      <c r="AG130" s="10">
        <f t="shared" si="28"/>
        <v>0.18258139791109249</v>
      </c>
      <c r="AH130" s="10">
        <f t="shared" si="36"/>
        <v>-1.2777311735907109</v>
      </c>
      <c r="AI130" s="10">
        <f t="shared" si="37"/>
        <v>-73.20860359904529</v>
      </c>
      <c r="AJ130" s="10">
        <f t="shared" si="38"/>
        <v>-14.770869442507465</v>
      </c>
      <c r="AL130" s="10" t="str">
        <f t="shared" ref="AL130:AL193" si="41">IMDIV(IMSUM(1,IMDIV(AA130,wz1e)),IMSUM(1,IMDIV(AA130,wp1e)))</f>
        <v>0.00678607363284969-0.000756545813581713i</v>
      </c>
      <c r="AM130" s="10" t="str">
        <f t="shared" ref="AM130:AM193" si="42">IMDIV(IMSUM(1,IMDIV(AA130,wz2e)),IMSUM(1,IMDIV(AA130,wp2e)))</f>
        <v>0.976981218885629-0.148058632269767i</v>
      </c>
      <c r="AN130" s="10" t="str">
        <f t="shared" si="29"/>
        <v>-2.81571264757186+0.753350903276056i</v>
      </c>
      <c r="AO130" s="10">
        <f t="shared" si="30"/>
        <v>2.9147513268138305</v>
      </c>
      <c r="AP130" s="10">
        <f t="shared" si="31"/>
        <v>2.8801634397433284</v>
      </c>
      <c r="AQ130" s="10">
        <f t="shared" si="32"/>
        <v>165.02120940517452</v>
      </c>
      <c r="AR130" s="10">
        <f t="shared" si="33"/>
        <v>9.2920301733288539</v>
      </c>
      <c r="AS130" s="10">
        <f t="shared" si="34"/>
        <v>-5.4788392691786107</v>
      </c>
      <c r="AT130" s="10">
        <f t="shared" si="35"/>
        <v>91.812605806129227</v>
      </c>
    </row>
    <row r="131" spans="25:46" x14ac:dyDescent="0.25">
      <c r="Y131" s="10">
        <v>129</v>
      </c>
      <c r="Z131" s="10">
        <f t="shared" ref="Z131:Z194" si="43">10^(LOG($F$3/$F$2,10)*Y131/200)</f>
        <v>7413.1024130091646</v>
      </c>
      <c r="AA131" s="10" t="str">
        <f t="shared" ref="AA131:AA194" si="44">IMPRODUCT(COMPLEX(0,1),2*PI()*Z131)</f>
        <v>46577.8961620367i</v>
      </c>
      <c r="AB131" s="10">
        <f>$T$6/'5. Current Sense Resistor'!$B$11</f>
        <v>100</v>
      </c>
      <c r="AD131" s="10" t="str">
        <f t="shared" si="39"/>
        <v>0.0042177666968512-0.00884898822811202i</v>
      </c>
      <c r="AE131" s="10" t="str">
        <f t="shared" si="40"/>
        <v>0.997558953868704-0.135989596036567i</v>
      </c>
      <c r="AF131" s="10" t="str">
        <f t="shared" ref="AF131:AF194" si="45">IMPRODUCT(AB131,AC$2,AD131,AE131)</f>
        <v>0.0525192412465009-0.164352444561419i</v>
      </c>
      <c r="AG131" s="10">
        <f t="shared" ref="AG131:AG194" si="46">IMABS(AF131)</f>
        <v>0.17253984100613534</v>
      </c>
      <c r="AH131" s="10">
        <f t="shared" si="36"/>
        <v>-1.2614993304569357</v>
      </c>
      <c r="AI131" s="10">
        <f t="shared" si="37"/>
        <v>-72.278587493761563</v>
      </c>
      <c r="AJ131" s="10">
        <f t="shared" si="38"/>
        <v>-15.262212129925892</v>
      </c>
      <c r="AL131" s="10" t="str">
        <f t="shared" si="41"/>
        <v>0.0067859992727922-0.0007060496871357i</v>
      </c>
      <c r="AM131" s="10" t="str">
        <f t="shared" si="42"/>
        <v>0.973662991170149-0.158094899659374i</v>
      </c>
      <c r="AN131" s="10" t="str">
        <f t="shared" ref="AN131:AN194" si="47">IMPRODUCT($AK$2,AL131,AM131)</f>
        <v>-2.80612231009188+0.760443692145967i</v>
      </c>
      <c r="AO131" s="10">
        <f t="shared" ref="AO131:AO194" si="48">IMABS(AN131)</f>
        <v>2.9073350388491481</v>
      </c>
      <c r="AP131" s="10">
        <f t="shared" ref="AP131:AP194" si="49">IMARGUMENT(AN131)</f>
        <v>2.8769541310082802</v>
      </c>
      <c r="AQ131" s="10">
        <f t="shared" ref="AQ131:AQ194" si="50">AP131/(PI())*180</f>
        <v>164.83732955950177</v>
      </c>
      <c r="AR131" s="10">
        <f t="shared" ref="AR131:AR194" si="51">20*LOG(AO131,10)</f>
        <v>9.2699016477175959</v>
      </c>
      <c r="AS131" s="10">
        <f t="shared" ref="AS131:AS194" si="52">AR131+AJ131</f>
        <v>-5.9923104822082962</v>
      </c>
      <c r="AT131" s="10">
        <f t="shared" ref="AT131:AT194" si="53">AQ131+AI131</f>
        <v>92.558742065740205</v>
      </c>
    </row>
    <row r="132" spans="25:46" x14ac:dyDescent="0.25">
      <c r="Y132" s="10">
        <v>130</v>
      </c>
      <c r="Z132" s="10">
        <f t="shared" si="43"/>
        <v>7943.2823472428154</v>
      </c>
      <c r="AA132" s="10" t="str">
        <f t="shared" si="44"/>
        <v>49909.114934975i</v>
      </c>
      <c r="AB132" s="10">
        <f>$T$6/'5. Current Sense Resistor'!$B$11</f>
        <v>100</v>
      </c>
      <c r="AD132" s="10" t="str">
        <f t="shared" si="39"/>
        <v>0.00420762045374727-0.00825844046778737i</v>
      </c>
      <c r="AE132" s="10" t="str">
        <f t="shared" si="40"/>
        <v>0.997197272225689-0.145712640696159i</v>
      </c>
      <c r="AF132" s="10" t="str">
        <f t="shared" si="45"/>
        <v>0.0523158823504279-0.154692269137736i</v>
      </c>
      <c r="AG132" s="10">
        <f t="shared" si="46"/>
        <v>0.16329926416578114</v>
      </c>
      <c r="AH132" s="10">
        <f t="shared" si="36"/>
        <v>-1.2446782365722928</v>
      </c>
      <c r="AI132" s="10">
        <f t="shared" si="37"/>
        <v>-71.314809807378211</v>
      </c>
      <c r="AJ132" s="10">
        <f t="shared" si="38"/>
        <v>-15.740315444208564</v>
      </c>
      <c r="AL132" s="10" t="str">
        <f t="shared" si="41"/>
        <v>0.00678593450788051-0.000658923950062483i</v>
      </c>
      <c r="AM132" s="10" t="str">
        <f t="shared" si="42"/>
        <v>0.969881558635164-0.168726735220332i</v>
      </c>
      <c r="AN132" s="10" t="str">
        <f t="shared" si="47"/>
        <v>-2.795201848993+0.770708201461477i</v>
      </c>
      <c r="AO132" s="10">
        <f t="shared" si="48"/>
        <v>2.8995076320668427</v>
      </c>
      <c r="AP132" s="10">
        <f t="shared" si="49"/>
        <v>2.8725521514211558</v>
      </c>
      <c r="AQ132" s="10">
        <f t="shared" si="50"/>
        <v>164.5851147076568</v>
      </c>
      <c r="AR132" s="10">
        <f t="shared" si="51"/>
        <v>9.2464851246621151</v>
      </c>
      <c r="AS132" s="10">
        <f t="shared" si="52"/>
        <v>-6.4938303195464488</v>
      </c>
      <c r="AT132" s="10">
        <f t="shared" si="53"/>
        <v>93.270304900278589</v>
      </c>
    </row>
    <row r="133" spans="25:46" x14ac:dyDescent="0.25">
      <c r="Y133" s="10">
        <v>131</v>
      </c>
      <c r="Z133" s="10">
        <f t="shared" si="43"/>
        <v>8511.3803820237626</v>
      </c>
      <c r="AA133" s="10" t="str">
        <f t="shared" si="44"/>
        <v>53478.5801601483i</v>
      </c>
      <c r="AB133" s="10">
        <f>$T$6/'5. Current Sense Resistor'!$B$11</f>
        <v>100</v>
      </c>
      <c r="AD133" s="10" t="str">
        <f t="shared" si="39"/>
        <v>0.00419878327696172-0.0077072934823415i</v>
      </c>
      <c r="AE133" s="10" t="str">
        <f t="shared" si="40"/>
        <v>0.996781996018666-0.15613041706384i</v>
      </c>
      <c r="AF133" s="10" t="str">
        <f t="shared" si="45"/>
        <v>0.0521316194025927-0.145770090304593i</v>
      </c>
      <c r="AG133" s="10">
        <f t="shared" si="46"/>
        <v>0.15481157892401323</v>
      </c>
      <c r="AH133" s="10">
        <f t="shared" si="36"/>
        <v>-1.227341256156925</v>
      </c>
      <c r="AI133" s="10">
        <f t="shared" si="37"/>
        <v>-70.321474000076662</v>
      </c>
      <c r="AJ133" s="10">
        <f t="shared" si="38"/>
        <v>-16.203931199322909</v>
      </c>
      <c r="AL133" s="10" t="str">
        <f t="shared" si="41"/>
        <v>0.00678587809999365-0.000614943645218618i</v>
      </c>
      <c r="AM133" s="10" t="str">
        <f t="shared" si="42"/>
        <v>0.965576886761672-0.179970596225052i</v>
      </c>
      <c r="AN133" s="10" t="str">
        <f t="shared" si="47"/>
        <v>-2.78277779891287+0.784094643957793i</v>
      </c>
      <c r="AO133" s="10">
        <f t="shared" si="48"/>
        <v>2.8911341526822398</v>
      </c>
      <c r="AP133" s="10">
        <f t="shared" si="49"/>
        <v>2.8669462673694577</v>
      </c>
      <c r="AQ133" s="10">
        <f t="shared" si="50"/>
        <v>164.26392121105479</v>
      </c>
      <c r="AR133" s="10">
        <f t="shared" si="51"/>
        <v>9.2213648802335957</v>
      </c>
      <c r="AS133" s="10">
        <f t="shared" si="52"/>
        <v>-6.9825663190893135</v>
      </c>
      <c r="AT133" s="10">
        <f t="shared" si="53"/>
        <v>93.942447210978131</v>
      </c>
    </row>
    <row r="134" spans="25:46" x14ac:dyDescent="0.25">
      <c r="Y134" s="10">
        <v>132</v>
      </c>
      <c r="Z134" s="10">
        <f t="shared" si="43"/>
        <v>9120.1083935590923</v>
      </c>
      <c r="AA134" s="10" t="str">
        <f t="shared" si="44"/>
        <v>57303.3310582957i</v>
      </c>
      <c r="AB134" s="10">
        <f>$T$6/'5. Current Sense Resistor'!$B$11</f>
        <v>100</v>
      </c>
      <c r="AD134" s="10" t="str">
        <f t="shared" si="39"/>
        <v>0.00419108628994463-0.00719292038672574i</v>
      </c>
      <c r="AE134" s="10" t="str">
        <f t="shared" si="40"/>
        <v>0.996305181802452-0.167292461149611i</v>
      </c>
      <c r="AF134" s="10" t="str">
        <f t="shared" si="45"/>
        <v>0.0519629306591694-0.137543374019626i</v>
      </c>
      <c r="AG134" s="10">
        <f t="shared" si="46"/>
        <v>0.14703171732450238</v>
      </c>
      <c r="AH134" s="10">
        <f t="shared" si="36"/>
        <v>-1.2095792072813618</v>
      </c>
      <c r="AI134" s="10">
        <f t="shared" si="37"/>
        <v>-69.303783564001805</v>
      </c>
      <c r="AJ134" s="10">
        <f t="shared" si="38"/>
        <v>-16.651779403922557</v>
      </c>
      <c r="AL134" s="10" t="str">
        <f t="shared" si="41"/>
        <v>0.00678582897077275-0.000573898830035893i</v>
      </c>
      <c r="AM134" s="10" t="str">
        <f t="shared" si="42"/>
        <v>0.9606825621735-0.191838874864365i</v>
      </c>
      <c r="AN134" s="10" t="str">
        <f t="shared" si="47"/>
        <v>-2.76865838910997+0.800548009880679i</v>
      </c>
      <c r="AO134" s="10">
        <f t="shared" si="48"/>
        <v>2.8820732800733793</v>
      </c>
      <c r="AP134" s="10">
        <f t="shared" si="49"/>
        <v>2.8601226579082684</v>
      </c>
      <c r="AQ134" s="10">
        <f t="shared" si="50"/>
        <v>163.87295718788315</v>
      </c>
      <c r="AR134" s="10">
        <f t="shared" si="51"/>
        <v>9.1941003812381279</v>
      </c>
      <c r="AS134" s="10">
        <f t="shared" si="52"/>
        <v>-7.4576790226844292</v>
      </c>
      <c r="AT134" s="10">
        <f t="shared" si="53"/>
        <v>94.569173623881341</v>
      </c>
    </row>
    <row r="135" spans="25:46" x14ac:dyDescent="0.25">
      <c r="Y135" s="10">
        <v>133</v>
      </c>
      <c r="Z135" s="10">
        <f t="shared" si="43"/>
        <v>9772.3722095580997</v>
      </c>
      <c r="AA135" s="10" t="str">
        <f t="shared" si="44"/>
        <v>61401.6254833856i</v>
      </c>
      <c r="AB135" s="10">
        <f>$T$6/'5. Current Sense Resistor'!$B$11</f>
        <v>100</v>
      </c>
      <c r="AD135" s="10" t="str">
        <f t="shared" si="39"/>
        <v>0.00418438239755279-0.00671286907765241i</v>
      </c>
      <c r="AE135" s="10" t="str">
        <f t="shared" si="40"/>
        <v>0.995757708260066-0.179251816958362i</v>
      </c>
      <c r="AF135" s="10" t="str">
        <f t="shared" si="45"/>
        <v>0.0518065917394778-0.129972889444457i</v>
      </c>
      <c r="AG135" s="10">
        <f t="shared" si="46"/>
        <v>0.13991738611838764</v>
      </c>
      <c r="AH135" s="10">
        <f t="shared" si="36"/>
        <v>-1.1915014252562679</v>
      </c>
      <c r="AI135" s="10">
        <f t="shared" si="37"/>
        <v>-68.268002951006466</v>
      </c>
      <c r="AJ135" s="10">
        <f t="shared" si="38"/>
        <v>-17.08256633544811</v>
      </c>
      <c r="AL135" s="10" t="str">
        <f t="shared" si="41"/>
        <v>0.00678578618100624-0.000535593574427861i</v>
      </c>
      <c r="AM135" s="10" t="str">
        <f t="shared" si="42"/>
        <v>0.955125543966908-0.204338691040359i</v>
      </c>
      <c r="AN135" s="10" t="str">
        <f t="shared" si="47"/>
        <v>-2.75263281825775+0.820004156651734i</v>
      </c>
      <c r="AO135" s="10">
        <f t="shared" si="48"/>
        <v>2.8721758736323455</v>
      </c>
      <c r="AP135" s="10">
        <f t="shared" si="49"/>
        <v>2.8520652981565568</v>
      </c>
      <c r="AQ135" s="10">
        <f t="shared" si="50"/>
        <v>163.41130448009147</v>
      </c>
      <c r="AR135" s="10">
        <f t="shared" si="51"/>
        <v>9.1642205958721927</v>
      </c>
      <c r="AS135" s="10">
        <f t="shared" si="52"/>
        <v>-7.9183457395759174</v>
      </c>
      <c r="AT135" s="10">
        <f t="shared" si="53"/>
        <v>95.143301529085008</v>
      </c>
    </row>
    <row r="136" spans="25:46" x14ac:dyDescent="0.25">
      <c r="Y136" s="10">
        <v>134</v>
      </c>
      <c r="Z136" s="10">
        <f t="shared" si="43"/>
        <v>10471.285480509003</v>
      </c>
      <c r="AA136" s="10" t="str">
        <f t="shared" si="44"/>
        <v>65793.0270784171i</v>
      </c>
      <c r="AB136" s="10">
        <f>$T$6/'5. Current Sense Resistor'!$B$11</f>
        <v>100</v>
      </c>
      <c r="AD136" s="10" t="str">
        <f t="shared" si="39"/>
        <v>0.00417854347782471-0.00626485067085872i</v>
      </c>
      <c r="AE136" s="10" t="str">
        <f t="shared" si="40"/>
        <v>0.995129101372647-0.192065279335969i</v>
      </c>
      <c r="AF136" s="10" t="str">
        <f t="shared" si="45"/>
        <v>0.0516596140216368-0.123022523402296i</v>
      </c>
      <c r="AG136" s="10">
        <f t="shared" si="46"/>
        <v>0.13342884615079664</v>
      </c>
      <c r="AH136" s="10">
        <f t="shared" si="36"/>
        <v>-1.1732363689734258</v>
      </c>
      <c r="AI136" s="10">
        <f t="shared" si="37"/>
        <v>-67.221492313430701</v>
      </c>
      <c r="AJ136" s="10">
        <f t="shared" si="38"/>
        <v>-17.495005391923833</v>
      </c>
      <c r="AL136" s="10" t="str">
        <f t="shared" si="41"/>
        <v>0.00678574891267454-0.000499845025569695i</v>
      </c>
      <c r="AM136" s="10" t="str">
        <f t="shared" si="42"/>
        <v>0.948826051867562-0.217470490761039i</v>
      </c>
      <c r="AN136" s="10" t="str">
        <f t="shared" si="47"/>
        <v>-2.73447092452139+0.84238536745906i</v>
      </c>
      <c r="AO136" s="10">
        <f t="shared" si="48"/>
        <v>2.8612836882004555</v>
      </c>
      <c r="AP136" s="10">
        <f t="shared" si="49"/>
        <v>2.8427564438320108</v>
      </c>
      <c r="AQ136" s="10">
        <f t="shared" si="50"/>
        <v>162.87794641519289</v>
      </c>
      <c r="AR136" s="10">
        <f t="shared" si="51"/>
        <v>9.1312183802378044</v>
      </c>
      <c r="AS136" s="10">
        <f t="shared" si="52"/>
        <v>-8.3637870116860284</v>
      </c>
      <c r="AT136" s="10">
        <f t="shared" si="53"/>
        <v>95.656454101762193</v>
      </c>
    </row>
    <row r="137" spans="25:46" x14ac:dyDescent="0.25">
      <c r="Y137" s="10">
        <v>135</v>
      </c>
      <c r="Z137" s="10">
        <f t="shared" si="43"/>
        <v>11220.184543019639</v>
      </c>
      <c r="AA137" s="10" t="str">
        <f t="shared" si="44"/>
        <v>70498.4986645445i</v>
      </c>
      <c r="AB137" s="10">
        <f>$T$6/'5. Current Sense Resistor'!$B$11</f>
        <v>100</v>
      </c>
      <c r="AD137" s="10" t="str">
        <f t="shared" si="39"/>
        <v>0.00417345793554725-0.00584672869082856i</v>
      </c>
      <c r="AE137" s="10" t="str">
        <f t="shared" si="40"/>
        <v>0.994407333585068-0.205793652317836i</v>
      </c>
      <c r="AF137" s="10" t="str">
        <f t="shared" si="45"/>
        <v>0.0515191875195786-0.116659109073309i</v>
      </c>
      <c r="AG137" s="10">
        <f t="shared" si="46"/>
        <v>0.12752871995145135</v>
      </c>
      <c r="AH137" s="10">
        <f t="shared" si="36"/>
        <v>-1.154931648897588</v>
      </c>
      <c r="AI137" s="10">
        <f t="shared" si="37"/>
        <v>-66.172709107916802</v>
      </c>
      <c r="AJ137" s="10">
        <f t="shared" si="38"/>
        <v>-17.887839989015209</v>
      </c>
      <c r="AL137" s="10" t="str">
        <f t="shared" si="41"/>
        <v>0.00678571645331227-0.000466482535090075i</v>
      </c>
      <c r="AM137" s="10" t="str">
        <f t="shared" si="42"/>
        <v>0.94169764582161-0.231226444554975i</v>
      </c>
      <c r="AN137" s="10" t="str">
        <f t="shared" si="47"/>
        <v>-2.71392340806486+0.867595360767327i</v>
      </c>
      <c r="AO137" s="10">
        <f t="shared" si="48"/>
        <v>2.8492283121693447</v>
      </c>
      <c r="AP137" s="10">
        <f t="shared" si="49"/>
        <v>2.8321772284475277</v>
      </c>
      <c r="AQ137" s="10">
        <f t="shared" si="50"/>
        <v>162.27180202310214</v>
      </c>
      <c r="AR137" s="10">
        <f t="shared" si="51"/>
        <v>9.0945450236979024</v>
      </c>
      <c r="AS137" s="10">
        <f t="shared" si="52"/>
        <v>-8.7932949653173065</v>
      </c>
      <c r="AT137" s="10">
        <f t="shared" si="53"/>
        <v>96.099092915185338</v>
      </c>
    </row>
    <row r="138" spans="25:46" x14ac:dyDescent="0.25">
      <c r="Y138" s="10">
        <v>136</v>
      </c>
      <c r="Z138" s="10">
        <f t="shared" si="43"/>
        <v>12022.644346174109</v>
      </c>
      <c r="AA138" s="10" t="str">
        <f t="shared" si="44"/>
        <v>75540.5023093269i</v>
      </c>
      <c r="AB138" s="10">
        <f>$T$6/'5. Current Sense Resistor'!$B$11</f>
        <v>100</v>
      </c>
      <c r="AD138" s="10" t="str">
        <f t="shared" si="39"/>
        <v>0.00416902857106694-0.00545650896635843i</v>
      </c>
      <c r="AE138" s="10" t="str">
        <f t="shared" si="40"/>
        <v>0.993578593082183-0.220502023653318i</v>
      </c>
      <c r="AF138" s="10" t="str">
        <f t="shared" si="45"/>
        <v>0.0513826271502728-0.110852268156005i</v>
      </c>
      <c r="AG138" s="10">
        <f t="shared" si="46"/>
        <v>0.12218183059765798</v>
      </c>
      <c r="AH138" s="10">
        <f t="shared" si="36"/>
        <v>-1.1367533723399261</v>
      </c>
      <c r="AI138" s="10">
        <f t="shared" si="37"/>
        <v>-65.131170582341184</v>
      </c>
      <c r="AJ138" s="10">
        <f t="shared" si="38"/>
        <v>-18.25986744616797</v>
      </c>
      <c r="AL138" s="10" t="str">
        <f t="shared" si="41"/>
        <v>0.00678568818238793-0.000435346844511242i</v>
      </c>
      <c r="AM138" s="10" t="str">
        <f t="shared" si="42"/>
        <v>0.933647562260957-0.245588650719039i</v>
      </c>
      <c r="AN138" s="10" t="str">
        <f t="shared" si="47"/>
        <v>-2.69072279378402+0.895513762812399i</v>
      </c>
      <c r="AO138" s="10">
        <f t="shared" si="48"/>
        <v>2.8358303990851255</v>
      </c>
      <c r="AP138" s="10">
        <f t="shared" si="49"/>
        <v>2.8203083852385915</v>
      </c>
      <c r="AQ138" s="10">
        <f t="shared" si="50"/>
        <v>161.59176739952758</v>
      </c>
      <c r="AR138" s="10">
        <f t="shared" si="51"/>
        <v>9.0536050736339373</v>
      </c>
      <c r="AS138" s="10">
        <f t="shared" si="52"/>
        <v>-9.2062623725340327</v>
      </c>
      <c r="AT138" s="10">
        <f t="shared" si="53"/>
        <v>96.460596817186399</v>
      </c>
    </row>
    <row r="139" spans="25:46" x14ac:dyDescent="0.25">
      <c r="Y139" s="10">
        <v>137</v>
      </c>
      <c r="Z139" s="10">
        <f t="shared" si="43"/>
        <v>12882.495516931338</v>
      </c>
      <c r="AA139" s="10" t="str">
        <f t="shared" si="44"/>
        <v>80943.1065517899i</v>
      </c>
      <c r="AB139" s="10">
        <f>$T$6/'5. Current Sense Resistor'!$B$11</f>
        <v>100</v>
      </c>
      <c r="AD139" s="10" t="str">
        <f t="shared" si="39"/>
        <v>0.00416517072377344-0.0050923301877924i</v>
      </c>
      <c r="AE139" s="10" t="str">
        <f t="shared" si="40"/>
        <v>0.992627018704999-0.236260056125148i</v>
      </c>
      <c r="AF139" s="10" t="str">
        <f t="shared" si="45"/>
        <v>0.0512473213629537-0.105574265761178i</v>
      </c>
      <c r="AG139" s="10">
        <f t="shared" si="46"/>
        <v>0.11735507461498923</v>
      </c>
      <c r="AH139" s="10">
        <f t="shared" si="36"/>
        <v>-1.1188847327137743</v>
      </c>
      <c r="AI139" s="10">
        <f t="shared" si="37"/>
        <v>-64.107372946122453</v>
      </c>
      <c r="AJ139" s="10">
        <f t="shared" si="38"/>
        <v>-18.609962521880863</v>
      </c>
      <c r="AL139" s="10" t="str">
        <f t="shared" si="41"/>
        <v>0.00678566355944078-0.000406289325050902i</v>
      </c>
      <c r="AM139" s="10" t="str">
        <f t="shared" si="42"/>
        <v>0.924577382430933-0.260527163198817i</v>
      </c>
      <c r="AN139" s="10" t="str">
        <f t="shared" si="47"/>
        <v>-2.66458535131014+0.925990098434447i</v>
      </c>
      <c r="AO139" s="10">
        <f t="shared" si="48"/>
        <v>2.8208992815794076</v>
      </c>
      <c r="AP139" s="10">
        <f t="shared" si="49"/>
        <v>2.807131105463093</v>
      </c>
      <c r="AQ139" s="10">
        <f t="shared" si="50"/>
        <v>160.83676488292841</v>
      </c>
      <c r="AR139" s="10">
        <f t="shared" si="51"/>
        <v>9.0077516044603172</v>
      </c>
      <c r="AS139" s="10">
        <f t="shared" si="52"/>
        <v>-9.6022109174205461</v>
      </c>
      <c r="AT139" s="10">
        <f t="shared" si="53"/>
        <v>96.729391936805953</v>
      </c>
    </row>
    <row r="140" spans="25:46" x14ac:dyDescent="0.25">
      <c r="Y140" s="10">
        <v>138</v>
      </c>
      <c r="Z140" s="10">
        <f t="shared" si="43"/>
        <v>13803.842646028841</v>
      </c>
      <c r="AA140" s="10" t="str">
        <f t="shared" si="44"/>
        <v>86732.1012961474i</v>
      </c>
      <c r="AB140" s="10">
        <f>$T$6/'5. Current Sense Resistor'!$B$11</f>
        <v>100</v>
      </c>
      <c r="AD140" s="10" t="str">
        <f t="shared" si="39"/>
        <v>0.00416181065489115-0.00475245508414799i</v>
      </c>
      <c r="AE140" s="10" t="str">
        <f t="shared" si="40"/>
        <v>0.991534395360273-0.253142296200094i</v>
      </c>
      <c r="AF140" s="10" t="str">
        <f t="shared" si="45"/>
        <v>0.0511106821453218-0.100799877340327i</v>
      </c>
      <c r="AG140" s="10">
        <f t="shared" si="46"/>
        <v>0.11301733097708991</v>
      </c>
      <c r="AH140" s="10">
        <f t="shared" si="36"/>
        <v>-1.10152381374816</v>
      </c>
      <c r="AI140" s="10">
        <f t="shared" si="37"/>
        <v>-63.112665560924135</v>
      </c>
      <c r="AJ140" s="10">
        <f t="shared" si="38"/>
        <v>-18.937099064742057</v>
      </c>
      <c r="AL140" s="10" t="str">
        <f t="shared" si="41"/>
        <v>0.00678564211374941-0.000379171268158807i</v>
      </c>
      <c r="AM140" s="10" t="str">
        <f t="shared" si="42"/>
        <v>0.914384116430819-0.275997884308959i</v>
      </c>
      <c r="AN140" s="10" t="str">
        <f t="shared" si="47"/>
        <v>-2.63521421314298+0.958837414500268i</v>
      </c>
      <c r="AO140" s="10">
        <f t="shared" si="48"/>
        <v>2.8042330745849804</v>
      </c>
      <c r="AP140" s="10">
        <f t="shared" si="49"/>
        <v>2.7926280429690036</v>
      </c>
      <c r="AQ140" s="10">
        <f t="shared" si="50"/>
        <v>160.00580061200262</v>
      </c>
      <c r="AR140" s="10">
        <f t="shared" si="51"/>
        <v>8.9562821459453694</v>
      </c>
      <c r="AS140" s="10">
        <f t="shared" si="52"/>
        <v>-9.9808169187966875</v>
      </c>
      <c r="AT140" s="10">
        <f t="shared" si="53"/>
        <v>96.893135051078474</v>
      </c>
    </row>
    <row r="141" spans="25:46" x14ac:dyDescent="0.25">
      <c r="Y141" s="10">
        <v>139</v>
      </c>
      <c r="Z141" s="10">
        <f t="shared" si="43"/>
        <v>14791.083881682063</v>
      </c>
      <c r="AA141" s="10" t="str">
        <f t="shared" si="44"/>
        <v>92935.1209226455i</v>
      </c>
      <c r="AB141" s="10">
        <f>$T$6/'5. Current Sense Resistor'!$B$11</f>
        <v>100</v>
      </c>
      <c r="AD141" s="10" t="str">
        <f t="shared" si="39"/>
        <v>0.0041588841387603-0.00443526218069916i</v>
      </c>
      <c r="AE141" s="10" t="str">
        <f t="shared" si="40"/>
        <v>0.990279803997196-0.271228500427765i</v>
      </c>
      <c r="AF141" s="10" t="str">
        <f t="shared" si="45"/>
        <v>0.0509700954458669-0.0965062669823027i</v>
      </c>
      <c r="AG141" s="10">
        <f t="shared" si="46"/>
        <v>0.10913940716634057</v>
      </c>
      <c r="AH141" s="10">
        <f t="shared" si="36"/>
        <v>-1.0848806336932462</v>
      </c>
      <c r="AI141" s="10">
        <f t="shared" si="37"/>
        <v>-62.159081586101266</v>
      </c>
      <c r="AJ141" s="10">
        <f t="shared" si="38"/>
        <v>-19.240368191758613</v>
      </c>
      <c r="AL141" s="10" t="str">
        <f t="shared" si="41"/>
        <v>0.00678562343533225-0.000353863223402617i</v>
      </c>
      <c r="AM141" s="10" t="str">
        <f t="shared" si="42"/>
        <v>0.902961791005586-0.291940388893651i</v>
      </c>
      <c r="AN141" s="10" t="str">
        <f t="shared" si="47"/>
        <v>-2.60230394442316+0.993825726294847i</v>
      </c>
      <c r="AO141" s="10">
        <f t="shared" si="48"/>
        <v>2.7856193913393517</v>
      </c>
      <c r="AP141" s="10">
        <f t="shared" si="49"/>
        <v>2.7767844714643073</v>
      </c>
      <c r="AQ141" s="10">
        <f t="shared" si="50"/>
        <v>159.09803083236977</v>
      </c>
      <c r="AR141" s="10">
        <f t="shared" si="51"/>
        <v>8.8984355401575712</v>
      </c>
      <c r="AS141" s="10">
        <f t="shared" si="52"/>
        <v>-10.341932651601041</v>
      </c>
      <c r="AT141" s="10">
        <f t="shared" si="53"/>
        <v>96.938949246268507</v>
      </c>
    </row>
    <row r="142" spans="25:46" x14ac:dyDescent="0.25">
      <c r="Y142" s="10">
        <v>140</v>
      </c>
      <c r="Z142" s="10">
        <f t="shared" si="43"/>
        <v>15848.931924611119</v>
      </c>
      <c r="AA142" s="10" t="str">
        <f t="shared" si="44"/>
        <v>99581.7762032061i</v>
      </c>
      <c r="AB142" s="10">
        <f>$T$6/'5. Current Sense Resistor'!$B$11</f>
        <v>100</v>
      </c>
      <c r="AD142" s="10" t="str">
        <f t="shared" si="39"/>
        <v>0.00415633523575035-0.00413923809985069i</v>
      </c>
      <c r="AE142" s="10" t="str">
        <f t="shared" si="40"/>
        <v>0.988839219323901-0.290603979838234i</v>
      </c>
      <c r="AF142" s="10" t="str">
        <f t="shared" si="45"/>
        <v>0.050822871056873-0.0926728764388643i</v>
      </c>
      <c r="AG142" s="10">
        <f t="shared" si="46"/>
        <v>0.10569402182676439</v>
      </c>
      <c r="AH142" s="10">
        <f t="shared" si="36"/>
        <v>-1.0691735125965967</v>
      </c>
      <c r="AI142" s="10">
        <f t="shared" si="37"/>
        <v>-61.259129838962345</v>
      </c>
      <c r="AJ142" s="10">
        <f t="shared" si="38"/>
        <v>-19.518991523685187</v>
      </c>
      <c r="AL142" s="10" t="str">
        <f t="shared" si="41"/>
        <v>0.00678560716711044-0.000330244380543573i</v>
      </c>
      <c r="AM142" s="10" t="str">
        <f t="shared" si="42"/>
        <v>0.890203627020399-0.308275778923234i</v>
      </c>
      <c r="AN142" s="10" t="str">
        <f t="shared" si="47"/>
        <v>-2.5655468117977+1.03067557067709i</v>
      </c>
      <c r="AO142" s="10">
        <f t="shared" si="48"/>
        <v>2.7648368081165096</v>
      </c>
      <c r="AP142" s="10">
        <f t="shared" si="49"/>
        <v>2.7595895953280558</v>
      </c>
      <c r="AQ142" s="10">
        <f t="shared" si="50"/>
        <v>158.11283700051234</v>
      </c>
      <c r="AR142" s="10">
        <f t="shared" si="51"/>
        <v>8.8333900515046402</v>
      </c>
      <c r="AS142" s="10">
        <f t="shared" si="52"/>
        <v>-10.685601472180547</v>
      </c>
      <c r="AT142" s="10">
        <f t="shared" si="53"/>
        <v>96.853707161550005</v>
      </c>
    </row>
    <row r="143" spans="25:46" x14ac:dyDescent="0.25">
      <c r="Y143" s="10">
        <v>141</v>
      </c>
      <c r="Z143" s="10">
        <f t="shared" si="43"/>
        <v>16982.436524617453</v>
      </c>
      <c r="AA143" s="10" t="str">
        <f t="shared" si="44"/>
        <v>106703.795651586i</v>
      </c>
      <c r="AB143" s="10">
        <f>$T$6/'5. Current Sense Resistor'!$B$11</f>
        <v>100</v>
      </c>
      <c r="AD143" s="10" t="str">
        <f t="shared" si="39"/>
        <v>0.00415411522340314-0.00386297037032399i</v>
      </c>
      <c r="AE143" s="10" t="str">
        <f t="shared" si="40"/>
        <v>0.987185047395234-0.311359962363449i</v>
      </c>
      <c r="AF143" s="10" t="str">
        <f t="shared" si="45"/>
        <v>0.0506661909892534-0.0892813242609599i</v>
      </c>
      <c r="AG143" s="10">
        <f t="shared" si="46"/>
        <v>0.10265582190577488</v>
      </c>
      <c r="AH143" s="10">
        <f t="shared" si="36"/>
        <v>-1.0546249003412804</v>
      </c>
      <c r="AI143" s="10">
        <f t="shared" si="37"/>
        <v>-60.425555758960428</v>
      </c>
      <c r="AJ143" s="10">
        <f t="shared" si="38"/>
        <v>-19.772328310211901</v>
      </c>
      <c r="AL143" s="10" t="str">
        <f t="shared" si="41"/>
        <v>0.00678559299808115-0.000308201992853085i</v>
      </c>
      <c r="AM143" s="10" t="str">
        <f t="shared" si="42"/>
        <v>0.876004880756005-0.324904705022006i</v>
      </c>
      <c r="AN143" s="10" t="str">
        <f t="shared" si="47"/>
        <v>-2.52464096486926+1.06905205790164i</v>
      </c>
      <c r="AO143" s="10">
        <f t="shared" si="48"/>
        <v>2.7416572185449657</v>
      </c>
      <c r="AP143" s="10">
        <f t="shared" si="49"/>
        <v>2.7410380066793416</v>
      </c>
      <c r="AQ143" s="10">
        <f t="shared" si="50"/>
        <v>157.04990926767823</v>
      </c>
      <c r="AR143" s="10">
        <f t="shared" si="51"/>
        <v>8.760263105347736</v>
      </c>
      <c r="AS143" s="10">
        <f t="shared" si="52"/>
        <v>-11.012065204864165</v>
      </c>
      <c r="AT143" s="10">
        <f t="shared" si="53"/>
        <v>96.624353508717803</v>
      </c>
    </row>
    <row r="144" spans="25:46" x14ac:dyDescent="0.25">
      <c r="Y144" s="10">
        <v>142</v>
      </c>
      <c r="Z144" s="10">
        <f t="shared" si="43"/>
        <v>18197.008586099837</v>
      </c>
      <c r="AA144" s="10" t="str">
        <f t="shared" si="44"/>
        <v>114335.176982803i</v>
      </c>
      <c r="AB144" s="10">
        <f>$T$6/'5. Current Sense Resistor'!$B$11</f>
        <v>100</v>
      </c>
      <c r="AD144" s="10" t="str">
        <f t="shared" si="39"/>
        <v>0.0041521816654148-0.00360514071176932i</v>
      </c>
      <c r="AE144" s="10" t="str">
        <f t="shared" si="40"/>
        <v>0.985285593998421-0.333593973005346i</v>
      </c>
      <c r="AF144" s="10" t="str">
        <f t="shared" si="45"/>
        <v>0.050497055337677-0.0863153144414196i</v>
      </c>
      <c r="AG144" s="10">
        <f t="shared" si="46"/>
        <v>0.1000014305142559</v>
      </c>
      <c r="AH144" s="10">
        <f t="shared" si="36"/>
        <v>-1.0414568466060461</v>
      </c>
      <c r="AI144" s="10">
        <f t="shared" si="37"/>
        <v>-59.671081855530012</v>
      </c>
      <c r="AJ144" s="10">
        <f t="shared" si="38"/>
        <v>-19.999875747999191</v>
      </c>
      <c r="AL144" s="10" t="str">
        <f t="shared" si="41"/>
        <v>0.0067855806573722-0.000287630838918164i</v>
      </c>
      <c r="AM144" s="10" t="str">
        <f t="shared" si="42"/>
        <v>0.860266398156235-0.341705731771575i</v>
      </c>
      <c r="AN144" s="10" t="str">
        <f t="shared" si="47"/>
        <v>-2.47930067169659+1.10855993032103i</v>
      </c>
      <c r="AO144" s="10">
        <f t="shared" si="48"/>
        <v>2.7158492115337567</v>
      </c>
      <c r="AP144" s="10">
        <f t="shared" si="49"/>
        <v>2.7211312704884216</v>
      </c>
      <c r="AQ144" s="10">
        <f t="shared" si="50"/>
        <v>155.90933730005818</v>
      </c>
      <c r="AR144" s="10">
        <f t="shared" si="51"/>
        <v>8.678113070514252</v>
      </c>
      <c r="AS144" s="10">
        <f t="shared" si="52"/>
        <v>-11.321762677484939</v>
      </c>
      <c r="AT144" s="10">
        <f t="shared" si="53"/>
        <v>96.238255444528164</v>
      </c>
    </row>
    <row r="145" spans="25:46" x14ac:dyDescent="0.25">
      <c r="Y145" s="10">
        <v>143</v>
      </c>
      <c r="Z145" s="10">
        <f t="shared" si="43"/>
        <v>19498.445997580417</v>
      </c>
      <c r="AA145" s="10" t="str">
        <f t="shared" si="44"/>
        <v>122512.349404832i</v>
      </c>
      <c r="AB145" s="10">
        <f>$T$6/'5. Current Sense Resistor'!$B$11</f>
        <v>100</v>
      </c>
      <c r="AD145" s="10" t="str">
        <f t="shared" si="39"/>
        <v>0.0041504976006902-0.00336451876391943i</v>
      </c>
      <c r="AE145" s="10" t="str">
        <f t="shared" si="40"/>
        <v>0.983104453368254-0.357410231074894i</v>
      </c>
      <c r="AF145" s="10" t="str">
        <f t="shared" si="45"/>
        <v>0.0503122245815477-0.0837605539648378i</v>
      </c>
      <c r="AG145" s="10">
        <f t="shared" si="46"/>
        <v>9.7709520226232804E-2</v>
      </c>
      <c r="AH145" s="10">
        <f t="shared" si="36"/>
        <v>-1.0298863198655808</v>
      </c>
      <c r="AI145" s="10">
        <f t="shared" si="37"/>
        <v>-59.008139506558088</v>
      </c>
      <c r="AJ145" s="10">
        <f t="shared" si="38"/>
        <v>-20.201262383702637</v>
      </c>
      <c r="AL145" s="10" t="str">
        <f t="shared" si="41"/>
        <v>0.00678556990906376-0.000268432720367132i</v>
      </c>
      <c r="AM145" s="10" t="str">
        <f t="shared" si="42"/>
        <v>0.842898889563089-0.358534262795189i</v>
      </c>
      <c r="AN145" s="10" t="str">
        <f t="shared" si="47"/>
        <v>-2.42926863000291+1.14874024906566i</v>
      </c>
      <c r="AO145" s="10">
        <f t="shared" si="48"/>
        <v>2.6871825834021119</v>
      </c>
      <c r="AP145" s="10">
        <f t="shared" si="49"/>
        <v>2.699879605706609</v>
      </c>
      <c r="AQ145" s="10">
        <f t="shared" si="50"/>
        <v>154.69170660043352</v>
      </c>
      <c r="AR145" s="10">
        <f t="shared" si="51"/>
        <v>8.5859435204763503</v>
      </c>
      <c r="AS145" s="10">
        <f t="shared" si="52"/>
        <v>-11.615318863226287</v>
      </c>
      <c r="AT145" s="10">
        <f t="shared" si="53"/>
        <v>95.683567093875439</v>
      </c>
    </row>
    <row r="146" spans="25:46" x14ac:dyDescent="0.25">
      <c r="Y146" s="10">
        <v>144</v>
      </c>
      <c r="Z146" s="10">
        <f t="shared" si="43"/>
        <v>20892.961308540387</v>
      </c>
      <c r="AA146" s="10" t="str">
        <f t="shared" si="44"/>
        <v>131274.347517293i</v>
      </c>
      <c r="AB146" s="10">
        <f>$T$6/'5. Current Sense Resistor'!$B$11</f>
        <v>100</v>
      </c>
      <c r="AD146" s="10" t="str">
        <f t="shared" si="39"/>
        <v>0.00414903083699116-0.00313995623130206i</v>
      </c>
      <c r="AE146" s="10" t="str">
        <f t="shared" si="40"/>
        <v>0.980599805146312-0.382920063304081i</v>
      </c>
      <c r="AF146" s="10" t="str">
        <f t="shared" si="45"/>
        <v>0.0501081571929605-0.0816046786596851i</v>
      </c>
      <c r="AG146" s="10">
        <f t="shared" si="46"/>
        <v>9.5760905365524313E-2</v>
      </c>
      <c r="AH146" s="10">
        <f t="shared" si="36"/>
        <v>-1.0201205874576256</v>
      </c>
      <c r="AI146" s="10">
        <f t="shared" si="37"/>
        <v>-58.448604255728128</v>
      </c>
      <c r="AJ146" s="10">
        <f t="shared" si="38"/>
        <v>-20.376235131441312</v>
      </c>
      <c r="AL146" s="10" t="str">
        <f t="shared" si="41"/>
        <v>0.00678556054767828-0.00025051599311846i</v>
      </c>
      <c r="AM146" s="10" t="str">
        <f t="shared" si="42"/>
        <v>0.823827871862835-0.375222273473629i</v>
      </c>
      <c r="AN146" s="10" t="str">
        <f t="shared" si="47"/>
        <v>-2.37433020116146+1.18906942160356i</v>
      </c>
      <c r="AO146" s="10">
        <f t="shared" si="48"/>
        <v>2.6554340499323352</v>
      </c>
      <c r="AP146" s="10">
        <f t="shared" si="49"/>
        <v>2.6773036140025059</v>
      </c>
      <c r="AQ146" s="10">
        <f t="shared" si="50"/>
        <v>153.39819755746606</v>
      </c>
      <c r="AR146" s="10">
        <f t="shared" si="51"/>
        <v>8.482710395983279</v>
      </c>
      <c r="AS146" s="10">
        <f t="shared" si="52"/>
        <v>-11.893524735458033</v>
      </c>
      <c r="AT146" s="10">
        <f t="shared" si="53"/>
        <v>94.949593301737934</v>
      </c>
    </row>
    <row r="147" spans="25:46" x14ac:dyDescent="0.25">
      <c r="Y147" s="10">
        <v>145</v>
      </c>
      <c r="Z147" s="10">
        <f t="shared" si="43"/>
        <v>22387.211385683382</v>
      </c>
      <c r="AA147" s="10" t="str">
        <f t="shared" si="44"/>
        <v>140662.997647249i</v>
      </c>
      <c r="AB147" s="10">
        <f>$T$6/'5. Current Sense Resistor'!$B$11</f>
        <v>100</v>
      </c>
      <c r="AD147" s="10" t="str">
        <f t="shared" si="39"/>
        <v>0.00414775333569383-0.00293038141633511i</v>
      </c>
      <c r="AE147" s="10" t="str">
        <f t="shared" si="40"/>
        <v>0.977723605622446-0.41024233095367i</v>
      </c>
      <c r="AF147" s="10" t="str">
        <f t="shared" si="45"/>
        <v>0.0498809413249382-0.0798371867287425i</v>
      </c>
      <c r="AG147" s="10">
        <f t="shared" si="46"/>
        <v>9.4138646114239527E-2</v>
      </c>
      <c r="AH147" s="10">
        <f t="shared" si="36"/>
        <v>-1.0123528527982149</v>
      </c>
      <c r="AI147" s="10">
        <f t="shared" si="37"/>
        <v>-58.003545843366396</v>
      </c>
      <c r="AJ147" s="10">
        <f t="shared" si="38"/>
        <v>-20.524641038655744</v>
      </c>
      <c r="AL147" s="10" t="str">
        <f t="shared" si="41"/>
        <v>0.00678555239425223-0.000233795129915488i</v>
      </c>
      <c r="AM147" s="10" t="str">
        <f t="shared" si="42"/>
        <v>0.802999144968012-0.391579115471128i</v>
      </c>
      <c r="AN147" s="10" t="str">
        <f t="shared" si="47"/>
        <v>-2.31432918359605+1.22896133018385i</v>
      </c>
      <c r="AO147" s="10">
        <f t="shared" si="48"/>
        <v>2.6203941537737445</v>
      </c>
      <c r="AP147" s="10">
        <f t="shared" si="49"/>
        <v>2.6534359895232069</v>
      </c>
      <c r="AQ147" s="10">
        <f t="shared" si="50"/>
        <v>152.03068340779907</v>
      </c>
      <c r="AR147" s="10">
        <f t="shared" si="51"/>
        <v>8.3673324365792432</v>
      </c>
      <c r="AS147" s="10">
        <f t="shared" si="52"/>
        <v>-12.157308602076501</v>
      </c>
      <c r="AT147" s="10">
        <f t="shared" si="53"/>
        <v>94.027137564432678</v>
      </c>
    </row>
    <row r="148" spans="25:46" x14ac:dyDescent="0.25">
      <c r="Y148" s="10">
        <v>146</v>
      </c>
      <c r="Z148" s="10">
        <f t="shared" si="43"/>
        <v>23988.32919019488</v>
      </c>
      <c r="AA148" s="10" t="str">
        <f t="shared" si="44"/>
        <v>150723.11751162i</v>
      </c>
      <c r="AB148" s="10">
        <f>$T$6/'5. Current Sense Resistor'!$B$11</f>
        <v>100</v>
      </c>
      <c r="AD148" s="10" t="str">
        <f t="shared" si="39"/>
        <v>0.00414664067590722-0.00273479411533607i</v>
      </c>
      <c r="AE148" s="10" t="str">
        <f t="shared" si="40"/>
        <v>0.97442065711714-0.439503868159999i</v>
      </c>
      <c r="AF148" s="10" t="str">
        <f t="shared" si="45"/>
        <v>0.0496262192296288-0.0784493792985433i</v>
      </c>
      <c r="AG148" s="10">
        <f t="shared" si="46"/>
        <v>9.2828157082610954E-2</v>
      </c>
      <c r="AH148" s="10">
        <f t="shared" si="36"/>
        <v>-1.0067583129618678</v>
      </c>
      <c r="AI148" s="10">
        <f t="shared" si="37"/>
        <v>-57.683002322425907</v>
      </c>
      <c r="AJ148" s="10">
        <f t="shared" si="38"/>
        <v>-20.646405430187752</v>
      </c>
      <c r="AL148" s="10" t="str">
        <f t="shared" si="41"/>
        <v>0.00678554529291489-0.000218190312059048i</v>
      </c>
      <c r="AM148" s="10" t="str">
        <f t="shared" si="42"/>
        <v>0.780384573179227-0.407393648352444i</v>
      </c>
      <c r="AN148" s="10" t="str">
        <f t="shared" si="47"/>
        <v>-2.24918446461184+1.26777329560342i</v>
      </c>
      <c r="AO148" s="10">
        <f t="shared" si="48"/>
        <v>2.5818752651699515</v>
      </c>
      <c r="AP148" s="10">
        <f t="shared" si="49"/>
        <v>2.6283231245906942</v>
      </c>
      <c r="AQ148" s="10">
        <f t="shared" si="50"/>
        <v>150.59182223568402</v>
      </c>
      <c r="AR148" s="10">
        <f t="shared" si="51"/>
        <v>8.2387051384923602</v>
      </c>
      <c r="AS148" s="10">
        <f t="shared" si="52"/>
        <v>-12.407700291695392</v>
      </c>
      <c r="AT148" s="10">
        <f t="shared" si="53"/>
        <v>92.908819913258114</v>
      </c>
    </row>
    <row r="149" spans="25:46" x14ac:dyDescent="0.25">
      <c r="Y149" s="10">
        <v>147</v>
      </c>
      <c r="Z149" s="10">
        <f t="shared" si="43"/>
        <v>25703.957827688606</v>
      </c>
      <c r="AA149" s="10" t="str">
        <f t="shared" si="44"/>
        <v>161502.730159297i</v>
      </c>
      <c r="AB149" s="10">
        <f>$T$6/'5. Current Sense Resistor'!$B$11</f>
        <v>100</v>
      </c>
      <c r="AD149" s="10" t="str">
        <f t="shared" si="39"/>
        <v>0.00414567158771928-0.00255226085359399i</v>
      </c>
      <c r="AE149" s="10" t="str">
        <f t="shared" si="40"/>
        <v>0.970627536828531-0.470839927628773i</v>
      </c>
      <c r="AF149" s="10" t="str">
        <f t="shared" si="45"/>
        <v>0.0493391029037071-0.0774343072727662i</v>
      </c>
      <c r="AG149" s="10">
        <f t="shared" si="46"/>
        <v>9.1817313281078811E-2</v>
      </c>
      <c r="AH149" s="10">
        <f t="shared" si="36"/>
        <v>-1.0034907568336515</v>
      </c>
      <c r="AI149" s="10">
        <f t="shared" si="37"/>
        <v>-57.495785146957004</v>
      </c>
      <c r="AJ149" s="10">
        <f t="shared" si="38"/>
        <v>-20.741508390466244</v>
      </c>
      <c r="AL149" s="10" t="str">
        <f t="shared" si="41"/>
        <v>0.00678553910790857-0.000203627048389383i</v>
      </c>
      <c r="AM149" s="10" t="str">
        <f t="shared" si="42"/>
        <v>0.755987836849484-0.422437909574802i</v>
      </c>
      <c r="AN149" s="10" t="str">
        <f t="shared" si="47"/>
        <v>-2.17890658687286+1.30481648406096i</v>
      </c>
      <c r="AO149" s="10">
        <f t="shared" si="48"/>
        <v>2.53972045142672</v>
      </c>
      <c r="AP149" s="10">
        <f t="shared" si="49"/>
        <v>2.6020265095402069</v>
      </c>
      <c r="AQ149" s="10">
        <f t="shared" si="50"/>
        <v>149.08513717781091</v>
      </c>
      <c r="AR149" s="10">
        <f t="shared" si="51"/>
        <v>8.0957183238618118</v>
      </c>
      <c r="AS149" s="10">
        <f t="shared" si="52"/>
        <v>-12.645790066604432</v>
      </c>
      <c r="AT149" s="10">
        <f t="shared" si="53"/>
        <v>91.589352030853902</v>
      </c>
    </row>
    <row r="150" spans="25:46" x14ac:dyDescent="0.25">
      <c r="Y150" s="10">
        <v>148</v>
      </c>
      <c r="Z150" s="10">
        <f t="shared" si="43"/>
        <v>27542.287033381672</v>
      </c>
      <c r="AA150" s="10" t="str">
        <f t="shared" si="44"/>
        <v>173053.293214267i</v>
      </c>
      <c r="AB150" s="10">
        <f>$T$6/'5. Current Sense Resistor'!$B$11</f>
        <v>100</v>
      </c>
      <c r="AD150" s="10" t="str">
        <f t="shared" si="39"/>
        <v>0.0041448275456554-0.00238191043717256i</v>
      </c>
      <c r="AE150" s="10" t="str">
        <f t="shared" si="40"/>
        <v>0.966271363516552-0.504394628321682i</v>
      </c>
      <c r="AF150" s="10" t="str">
        <f t="shared" si="45"/>
        <v>0.0490140792732206-0.0767867236931706i</v>
      </c>
      <c r="AG150" s="10">
        <f t="shared" si="46"/>
        <v>9.1096547149345244E-2</v>
      </c>
      <c r="AH150" s="10">
        <f t="shared" si="36"/>
        <v>-1.0026797789357293</v>
      </c>
      <c r="AI150" s="10">
        <f t="shared" si="37"/>
        <v>-57.449319536127682</v>
      </c>
      <c r="AJ150" s="10">
        <f t="shared" si="38"/>
        <v>-20.809961677313858</v>
      </c>
      <c r="AL150" s="10" t="str">
        <f t="shared" si="41"/>
        <v>0.00678553372099317-0.000190035819698689i</v>
      </c>
      <c r="AM150" s="10" t="str">
        <f t="shared" si="42"/>
        <v>0.729849718955592-0.436472447213226i</v>
      </c>
      <c r="AN150" s="10" t="str">
        <f t="shared" si="47"/>
        <v>-2.10361297533775+1.33937111452968i</v>
      </c>
      <c r="AO150" s="10">
        <f t="shared" si="48"/>
        <v>2.4938128503249435</v>
      </c>
      <c r="AP150" s="10">
        <f t="shared" si="49"/>
        <v>2.5746238127935177</v>
      </c>
      <c r="AQ150" s="10">
        <f t="shared" si="50"/>
        <v>147.51507830694874</v>
      </c>
      <c r="AR150" s="10">
        <f t="shared" si="51"/>
        <v>7.9372771695315389</v>
      </c>
      <c r="AS150" s="10">
        <f t="shared" si="52"/>
        <v>-12.872684507782319</v>
      </c>
      <c r="AT150" s="10">
        <f t="shared" si="53"/>
        <v>90.065758770821049</v>
      </c>
    </row>
    <row r="151" spans="25:46" x14ac:dyDescent="0.25">
      <c r="Y151" s="10">
        <v>149</v>
      </c>
      <c r="Z151" s="10">
        <f t="shared" si="43"/>
        <v>29512.092266663854</v>
      </c>
      <c r="AA151" s="10" t="str">
        <f t="shared" si="44"/>
        <v>185429.944514031i</v>
      </c>
      <c r="AB151" s="10">
        <f>$T$6/'5. Current Sense Resistor'!$B$11</f>
        <v>100</v>
      </c>
      <c r="AD151" s="10" t="str">
        <f t="shared" si="39"/>
        <v>0.00414409241458363-0.00222292980054953i</v>
      </c>
      <c r="AE151" s="10" t="str">
        <f t="shared" si="40"/>
        <v>0.961268376956457-0.54032139789975i</v>
      </c>
      <c r="AF151" s="10" t="str">
        <f t="shared" si="45"/>
        <v>0.0486449030080146-0.0765030406981812i</v>
      </c>
      <c r="AG151" s="10">
        <f t="shared" si="46"/>
        <v>9.0658931301481366E-2</v>
      </c>
      <c r="AH151" s="10">
        <f t="shared" si="36"/>
        <v>-1.0044286443901829</v>
      </c>
      <c r="AI151" s="10">
        <f t="shared" si="37"/>
        <v>-57.549522145604094</v>
      </c>
      <c r="AJ151" s="10">
        <f t="shared" si="38"/>
        <v>-20.851788095267565</v>
      </c>
      <c r="AL151" s="10" t="str">
        <f t="shared" si="41"/>
        <v>0.00678552902918596-0.000177351746877069i</v>
      </c>
      <c r="AM151" s="10" t="str">
        <f t="shared" si="42"/>
        <v>0.702052412799054-0.449253307076232i</v>
      </c>
      <c r="AN151" s="10" t="str">
        <f t="shared" si="47"/>
        <v>-2.02354034468735+1.37070644188294i</v>
      </c>
      <c r="AO151" s="10">
        <f t="shared" si="48"/>
        <v>2.44408503869992</v>
      </c>
      <c r="AP151" s="10">
        <f t="shared" si="49"/>
        <v>2.5462095229194079</v>
      </c>
      <c r="AQ151" s="10">
        <f t="shared" si="50"/>
        <v>145.88705941930093</v>
      </c>
      <c r="AR151" s="10">
        <f t="shared" si="51"/>
        <v>7.7623262506870816</v>
      </c>
      <c r="AS151" s="10">
        <f t="shared" si="52"/>
        <v>-13.089461844580484</v>
      </c>
      <c r="AT151" s="10">
        <f t="shared" si="53"/>
        <v>88.337537273696825</v>
      </c>
    </row>
    <row r="152" spans="25:46" x14ac:dyDescent="0.25">
      <c r="Y152" s="10">
        <v>150</v>
      </c>
      <c r="Z152" s="10">
        <f t="shared" si="43"/>
        <v>31622.776601683781</v>
      </c>
      <c r="AA152" s="10" t="str">
        <f t="shared" si="44"/>
        <v>198691.765315922i</v>
      </c>
      <c r="AB152" s="10">
        <f>$T$6/'5. Current Sense Resistor'!$B$11</f>
        <v>100</v>
      </c>
      <c r="AD152" s="10" t="str">
        <f t="shared" si="39"/>
        <v>0.00414345214130199-0.00207456013054466i</v>
      </c>
      <c r="AE152" s="10" t="str">
        <f t="shared" si="40"/>
        <v>0.955522301079787-0.578783400266988i</v>
      </c>
      <c r="AF152" s="10" t="str">
        <f t="shared" si="45"/>
        <v>0.0482244747911868-0.0765812900149076i</v>
      </c>
      <c r="AG152" s="10">
        <f t="shared" si="46"/>
        <v>9.0500242813117332E-2</v>
      </c>
      <c r="AH152" s="10">
        <f t="shared" si="36"/>
        <v>-1.0088128118340169</v>
      </c>
      <c r="AI152" s="10">
        <f t="shared" si="37"/>
        <v>-57.80071643681444</v>
      </c>
      <c r="AJ152" s="10">
        <f t="shared" si="38"/>
        <v>-20.867005111530069</v>
      </c>
      <c r="AL152" s="10" t="str">
        <f t="shared" si="41"/>
        <v>0.00678552494279267-0.000165514281207861i</v>
      </c>
      <c r="AM152" s="10" t="str">
        <f t="shared" si="42"/>
        <v>0.67272230238104-0.460540492632372i</v>
      </c>
      <c r="AN152" s="10" t="str">
        <f t="shared" si="47"/>
        <v>-1.9390527073905+1.39810499204576i</v>
      </c>
      <c r="AO152" s="10">
        <f t="shared" si="48"/>
        <v>2.3905277598935557</v>
      </c>
      <c r="AP152" s="10">
        <f t="shared" si="49"/>
        <v>2.5168950409788451</v>
      </c>
      <c r="AQ152" s="10">
        <f t="shared" si="50"/>
        <v>144.20746332549422</v>
      </c>
      <c r="AR152" s="10">
        <f t="shared" si="51"/>
        <v>7.5698758257153473</v>
      </c>
      <c r="AS152" s="10">
        <f t="shared" si="52"/>
        <v>-13.297129285814723</v>
      </c>
      <c r="AT152" s="10">
        <f t="shared" si="53"/>
        <v>86.406746888679777</v>
      </c>
    </row>
    <row r="153" spans="25:46" x14ac:dyDescent="0.25">
      <c r="Y153" s="10">
        <v>151</v>
      </c>
      <c r="Z153" s="10">
        <f t="shared" si="43"/>
        <v>33884.415613920231</v>
      </c>
      <c r="AA153" s="10" t="str">
        <f t="shared" si="44"/>
        <v>212902.06232775i</v>
      </c>
      <c r="AB153" s="10">
        <f>$T$6/'5. Current Sense Resistor'!$B$11</f>
        <v>100</v>
      </c>
      <c r="AD153" s="10" t="str">
        <f t="shared" si="39"/>
        <v>0.00414289448591524-0.00193609324825718i</v>
      </c>
      <c r="AE153" s="10" t="str">
        <f t="shared" si="40"/>
        <v>0.94892245703262-0.619953935442303i</v>
      </c>
      <c r="AF153" s="10" t="str">
        <f t="shared" si="45"/>
        <v>0.047744702555267-0.0770210857140881i</v>
      </c>
      <c r="AG153" s="10">
        <f t="shared" si="46"/>
        <v>9.0619006100639971E-2</v>
      </c>
      <c r="AH153" s="10">
        <f t="shared" si="36"/>
        <v>-1.0158791059985175</v>
      </c>
      <c r="AI153" s="10">
        <f t="shared" si="37"/>
        <v>-58.205585269238242</v>
      </c>
      <c r="AJ153" s="10">
        <f t="shared" si="38"/>
        <v>-20.855614108502962</v>
      </c>
      <c r="AL153" s="10" t="str">
        <f t="shared" si="41"/>
        <v>0.00678552138369288-0.000154466915334078i</v>
      </c>
      <c r="AM153" s="10" t="str">
        <f t="shared" si="42"/>
        <v>0.642030696563917-0.470107518052635i</v>
      </c>
      <c r="AN153" s="10" t="str">
        <f t="shared" si="47"/>
        <v>-1.85064348772775+1.42088995481571i</v>
      </c>
      <c r="AO153" s="10">
        <f t="shared" si="48"/>
        <v>2.3331972874931344</v>
      </c>
      <c r="AP153" s="10">
        <f t="shared" si="49"/>
        <v>2.4868081312676864</v>
      </c>
      <c r="AQ153" s="10">
        <f t="shared" si="50"/>
        <v>142.48361038045365</v>
      </c>
      <c r="AR153" s="10">
        <f t="shared" si="51"/>
        <v>7.3590292572043978</v>
      </c>
      <c r="AS153" s="10">
        <f t="shared" si="52"/>
        <v>-13.496584851298564</v>
      </c>
      <c r="AT153" s="10">
        <f t="shared" si="53"/>
        <v>84.278025111215413</v>
      </c>
    </row>
    <row r="154" spans="25:46" x14ac:dyDescent="0.25">
      <c r="Y154" s="10">
        <v>152</v>
      </c>
      <c r="Z154" s="10">
        <f t="shared" si="43"/>
        <v>36307.805477010166</v>
      </c>
      <c r="AA154" s="10" t="str">
        <f t="shared" si="44"/>
        <v>228128.669909085i</v>
      </c>
      <c r="AB154" s="10">
        <f>$T$6/'5. Current Sense Resistor'!$B$11</f>
        <v>100</v>
      </c>
      <c r="AD154" s="10" t="str">
        <f t="shared" si="39"/>
        <v>0.00414240878786878-0.00180686823192286i</v>
      </c>
      <c r="AE154" s="10" t="str">
        <f t="shared" si="40"/>
        <v>0.941341586902317-0.664016794973723i</v>
      </c>
      <c r="AF154" s="10" t="str">
        <f t="shared" si="45"/>
        <v>0.0471963428263854-0.0778235876844976i</v>
      </c>
      <c r="AG154" s="10">
        <f t="shared" si="46"/>
        <v>9.10165126571678E-2</v>
      </c>
      <c r="AH154" s="10">
        <f t="shared" si="36"/>
        <v>-1.0256455294074851</v>
      </c>
      <c r="AI154" s="10">
        <f t="shared" si="37"/>
        <v>-58.765160111509857</v>
      </c>
      <c r="AJ154" s="10">
        <f t="shared" si="38"/>
        <v>-20.817596174387113</v>
      </c>
      <c r="AL154" s="10" t="str">
        <f t="shared" si="41"/>
        <v>0.00678551828384651-0.00014415691351629i</v>
      </c>
      <c r="AM154" s="10" t="str">
        <f t="shared" si="42"/>
        <v>0.610192106302827-0.477751478072912i</v>
      </c>
      <c r="AN154" s="10" t="str">
        <f t="shared" si="47"/>
        <v>-1.75893055868296+1.43845407372747i</v>
      </c>
      <c r="AO154" s="10">
        <f t="shared" si="48"/>
        <v>2.2722206830525735</v>
      </c>
      <c r="AP154" s="10">
        <f t="shared" si="49"/>
        <v>2.4560916725418238</v>
      </c>
      <c r="AQ154" s="10">
        <f t="shared" si="50"/>
        <v>140.72368693387392</v>
      </c>
      <c r="AR154" s="10">
        <f t="shared" si="51"/>
        <v>7.1290101743858445</v>
      </c>
      <c r="AS154" s="10">
        <f t="shared" si="52"/>
        <v>-13.688586000001269</v>
      </c>
      <c r="AT154" s="10">
        <f t="shared" si="53"/>
        <v>81.958526822364064</v>
      </c>
    </row>
    <row r="155" spans="25:46" x14ac:dyDescent="0.25">
      <c r="Y155" s="10">
        <v>153</v>
      </c>
      <c r="Z155" s="10">
        <f t="shared" si="43"/>
        <v>38904.514499428085</v>
      </c>
      <c r="AA155" s="10" t="str">
        <f t="shared" si="44"/>
        <v>244444.273885762i</v>
      </c>
      <c r="AB155" s="10">
        <f>$T$6/'5. Current Sense Resistor'!$B$11</f>
        <v>100</v>
      </c>
      <c r="AD155" s="10" t="str">
        <f t="shared" si="39"/>
        <v>0.00414198576216858-0.00168626826471719i</v>
      </c>
      <c r="AE155" s="10" t="str">
        <f t="shared" si="40"/>
        <v>0.932633342460064-0.711166550928791i</v>
      </c>
      <c r="AF155" s="10" t="str">
        <f t="shared" si="45"/>
        <v>0.0465688188817076-0.0789914639245649i</v>
      </c>
      <c r="AG155" s="10">
        <f t="shared" si="46"/>
        <v>9.1696817092978319E-2</v>
      </c>
      <c r="AH155" s="10">
        <f t="shared" si="36"/>
        <v>-1.0381017096962857</v>
      </c>
      <c r="AI155" s="10">
        <f t="shared" si="37"/>
        <v>-59.478846670912176</v>
      </c>
      <c r="AJ155" s="10">
        <f t="shared" si="38"/>
        <v>-20.752914779063399</v>
      </c>
      <c r="AL155" s="10" t="str">
        <f t="shared" si="41"/>
        <v>0.00678551558399318-0.000134535059894404i</v>
      </c>
      <c r="AM155" s="10" t="str">
        <f t="shared" si="42"/>
        <v>0.577459843278036-0.483302897667441i</v>
      </c>
      <c r="AN155" s="10" t="str">
        <f t="shared" si="47"/>
        <v>-1.66464356316849+1.45028790943783i</v>
      </c>
      <c r="AO155" s="10">
        <f t="shared" si="48"/>
        <v>2.2077982726372074</v>
      </c>
      <c r="AP155" s="10">
        <f t="shared" si="49"/>
        <v>2.4249016986476342</v>
      </c>
      <c r="AQ155" s="10">
        <f t="shared" si="50"/>
        <v>138.93663306661364</v>
      </c>
      <c r="AR155" s="10">
        <f t="shared" si="51"/>
        <v>6.8791877843785043</v>
      </c>
      <c r="AS155" s="10">
        <f t="shared" si="52"/>
        <v>-13.873726994684894</v>
      </c>
      <c r="AT155" s="10">
        <f t="shared" si="53"/>
        <v>79.457786395701461</v>
      </c>
    </row>
    <row r="156" spans="25:46" x14ac:dyDescent="0.25">
      <c r="Y156" s="10">
        <v>154</v>
      </c>
      <c r="Z156" s="10">
        <f t="shared" si="43"/>
        <v>41686.93834703348</v>
      </c>
      <c r="AA156" s="10" t="str">
        <f t="shared" si="44"/>
        <v>261926.758523382i</v>
      </c>
      <c r="AB156" s="10">
        <f>$T$6/'5. Current Sense Resistor'!$B$11</f>
        <v>100</v>
      </c>
      <c r="AD156" s="10" t="str">
        <f t="shared" si="39"/>
        <v>0.00414161732189328-0.00157371769257717i</v>
      </c>
      <c r="AE156" s="10" t="str">
        <f t="shared" si="40"/>
        <v>0.922629385784162-0.761608749796252i</v>
      </c>
      <c r="AF156" s="10" t="str">
        <f t="shared" si="45"/>
        <v>0.0458500119139074-0.0805288492790522i</v>
      </c>
      <c r="AG156" s="10">
        <f t="shared" si="46"/>
        <v>9.2666710088972912E-2</v>
      </c>
      <c r="AH156" s="10">
        <f t="shared" si="36"/>
        <v>-1.0532099899085634</v>
      </c>
      <c r="AI156" s="10">
        <f t="shared" si="37"/>
        <v>-60.344487362776711</v>
      </c>
      <c r="AJ156" s="10">
        <f t="shared" si="38"/>
        <v>-20.661525105946055</v>
      </c>
      <c r="AL156" s="10" t="str">
        <f t="shared" si="41"/>
        <v>0.00678551323251923-0.000125555423551691i</v>
      </c>
      <c r="AM156" s="10" t="str">
        <f t="shared" si="42"/>
        <v>0.54411897390192-0.486634535858766i</v>
      </c>
      <c r="AN156" s="10" t="str">
        <f t="shared" si="47"/>
        <v>-1.56860361743543+1.45600509774295i</v>
      </c>
      <c r="AO156" s="10">
        <f t="shared" si="48"/>
        <v>2.1402028299404181</v>
      </c>
      <c r="AP156" s="10">
        <f t="shared" si="49"/>
        <v>2.3934047733492254</v>
      </c>
      <c r="AQ156" s="10">
        <f t="shared" si="50"/>
        <v>137.131992179376</v>
      </c>
      <c r="AR156" s="10">
        <f t="shared" si="51"/>
        <v>6.6090986795973681</v>
      </c>
      <c r="AS156" s="10">
        <f t="shared" si="52"/>
        <v>-14.052426426348687</v>
      </c>
      <c r="AT156" s="10">
        <f t="shared" si="53"/>
        <v>76.787504816599295</v>
      </c>
    </row>
    <row r="157" spans="25:46" x14ac:dyDescent="0.25">
      <c r="Y157" s="10">
        <v>155</v>
      </c>
      <c r="Z157" s="10">
        <f t="shared" si="43"/>
        <v>44668.359215096309</v>
      </c>
      <c r="AA157" s="10" t="str">
        <f t="shared" si="44"/>
        <v>280659.578316113i</v>
      </c>
      <c r="AB157" s="10">
        <f>$T$6/'5. Current Sense Resistor'!$B$11</f>
        <v>100</v>
      </c>
      <c r="AD157" s="10" t="str">
        <f t="shared" si="39"/>
        <v>0.00414129642360628-0.00146867927809452i</v>
      </c>
      <c r="AE157" s="10" t="str">
        <f t="shared" si="40"/>
        <v>0.911136039897122-0.815559973950139i</v>
      </c>
      <c r="AF157" s="10" t="str">
        <f t="shared" si="45"/>
        <v>0.0450260207982669-0.0824412976342333i</v>
      </c>
      <c r="AG157" s="10">
        <f t="shared" si="46"/>
        <v>9.3935670032965671E-2</v>
      </c>
      <c r="AH157" s="10">
        <f t="shared" si="36"/>
        <v>-1.0709071775256904</v>
      </c>
      <c r="AI157" s="10">
        <f t="shared" si="37"/>
        <v>-61.358461522489264</v>
      </c>
      <c r="AJ157" s="10">
        <f t="shared" si="38"/>
        <v>-20.543389250125777</v>
      </c>
      <c r="AL157" s="10" t="str">
        <f t="shared" si="41"/>
        <v>0.00678551118447103-0.000117175139259623i</v>
      </c>
      <c r="AM157" s="10" t="str">
        <f t="shared" si="42"/>
        <v>0.510476953158196-0.487668330582801i</v>
      </c>
      <c r="AN157" s="10" t="str">
        <f t="shared" si="47"/>
        <v>-1.47169633126511+1.45536225964865i</v>
      </c>
      <c r="AO157" s="10">
        <f t="shared" si="48"/>
        <v>2.0697752047671281</v>
      </c>
      <c r="AP157" s="10">
        <f t="shared" si="49"/>
        <v>2.3617748028378625</v>
      </c>
      <c r="AQ157" s="10">
        <f t="shared" si="50"/>
        <v>135.31972836295165</v>
      </c>
      <c r="AR157" s="10">
        <f t="shared" si="51"/>
        <v>6.3184635986979423</v>
      </c>
      <c r="AS157" s="10">
        <f t="shared" si="52"/>
        <v>-14.224925651427835</v>
      </c>
      <c r="AT157" s="10">
        <f t="shared" si="53"/>
        <v>73.961266840462386</v>
      </c>
    </row>
    <row r="158" spans="25:46" x14ac:dyDescent="0.25">
      <c r="Y158" s="10">
        <v>156</v>
      </c>
      <c r="Z158" s="10">
        <f t="shared" si="43"/>
        <v>47863.009232263823</v>
      </c>
      <c r="AA158" s="10" t="str">
        <f t="shared" si="44"/>
        <v>300732.156365561i</v>
      </c>
      <c r="AB158" s="10">
        <f>$T$6/'5. Current Sense Resistor'!$B$11</f>
        <v>100</v>
      </c>
      <c r="AD158" s="10" t="str">
        <f t="shared" si="39"/>
        <v>0.00414101693271373-0.00137065163745073i</v>
      </c>
      <c r="AE158" s="10" t="str">
        <f t="shared" si="40"/>
        <v>0.897930417384617-0.873247722039242i</v>
      </c>
      <c r="AF158" s="10" t="str">
        <f t="shared" si="45"/>
        <v>0.0440808853614545-0.0847357237818748i</v>
      </c>
      <c r="AG158" s="10">
        <f t="shared" si="46"/>
        <v>9.5515796280447124E-2</v>
      </c>
      <c r="AH158" s="10">
        <f t="shared" si="36"/>
        <v>-1.0911069681894283</v>
      </c>
      <c r="AI158" s="10">
        <f t="shared" si="37"/>
        <v>-62.515824274569219</v>
      </c>
      <c r="AJ158" s="10">
        <f t="shared" si="38"/>
        <v>-20.398495988192536</v>
      </c>
      <c r="AL158" s="10" t="str">
        <f t="shared" si="41"/>
        <v>0.00678550940069558-0.000109354202856926i</v>
      </c>
      <c r="AM158" s="10" t="str">
        <f t="shared" si="42"/>
        <v>0.476852542911185-0.486379798607396i</v>
      </c>
      <c r="AN158" s="10" t="str">
        <f t="shared" si="47"/>
        <v>-1.37483988660303+1.44827158700272i</v>
      </c>
      <c r="AO158" s="10">
        <f t="shared" si="48"/>
        <v>1.9969164488065116</v>
      </c>
      <c r="AP158" s="10">
        <f t="shared" si="49"/>
        <v>2.3301894431705152</v>
      </c>
      <c r="AQ158" s="10">
        <f t="shared" si="50"/>
        <v>133.5100205596099</v>
      </c>
      <c r="AR158" s="10">
        <f t="shared" si="51"/>
        <v>6.0071978864838647</v>
      </c>
      <c r="AS158" s="10">
        <f t="shared" si="52"/>
        <v>-14.391298101708671</v>
      </c>
      <c r="AT158" s="10">
        <f t="shared" si="53"/>
        <v>70.994196285040687</v>
      </c>
    </row>
    <row r="159" spans="25:46" x14ac:dyDescent="0.25">
      <c r="Y159" s="10">
        <v>157</v>
      </c>
      <c r="Z159" s="10">
        <f t="shared" si="43"/>
        <v>51286.138399136456</v>
      </c>
      <c r="AA159" s="10" t="str">
        <f t="shared" si="44"/>
        <v>322240.311251433i</v>
      </c>
      <c r="AB159" s="10">
        <f>$T$6/'5. Current Sense Resistor'!$B$11</f>
        <v>100</v>
      </c>
      <c r="AD159" s="10" t="str">
        <f t="shared" si="39"/>
        <v>0.00414077350619478-0.0012791668482232i</v>
      </c>
      <c r="AE159" s="10" t="str">
        <f t="shared" si="40"/>
        <v>0.882755943179998-0.934910044948234i</v>
      </c>
      <c r="AF159" s="10" t="str">
        <f t="shared" si="45"/>
        <v>0.0429962672445293-0.0874203301116237i</v>
      </c>
      <c r="AG159" s="10">
        <f t="shared" si="46"/>
        <v>9.7421728140021438E-2</v>
      </c>
      <c r="AH159" s="10">
        <f t="shared" si="36"/>
        <v>-1.113703048106353</v>
      </c>
      <c r="AI159" s="10">
        <f t="shared" si="37"/>
        <v>-63.810484287349318</v>
      </c>
      <c r="AJ159" s="10">
        <f t="shared" si="38"/>
        <v>-20.226883417063139</v>
      </c>
      <c r="AL159" s="10" t="str">
        <f t="shared" si="41"/>
        <v>0.00678550784709213-0.000102055280286089i</v>
      </c>
      <c r="AM159" s="10" t="str">
        <f t="shared" si="42"/>
        <v>0.443563839666023-0.482799437063074i</v>
      </c>
      <c r="AN159" s="10" t="str">
        <f t="shared" si="47"/>
        <v>-1.27895055099927+1.43480479712186i</v>
      </c>
      <c r="AO159" s="10">
        <f t="shared" si="48"/>
        <v>1.9220768241007533</v>
      </c>
      <c r="AP159" s="10">
        <f t="shared" si="49"/>
        <v>2.2988263007842455</v>
      </c>
      <c r="AQ159" s="10">
        <f t="shared" si="50"/>
        <v>131.71304486860879</v>
      </c>
      <c r="AR159" s="10">
        <f t="shared" si="51"/>
        <v>5.6754148426781237</v>
      </c>
      <c r="AS159" s="10">
        <f t="shared" si="52"/>
        <v>-14.551468574385016</v>
      </c>
      <c r="AT159" s="10">
        <f t="shared" si="53"/>
        <v>67.902560581259479</v>
      </c>
    </row>
    <row r="160" spans="25:46" x14ac:dyDescent="0.25">
      <c r="Y160" s="10">
        <v>158</v>
      </c>
      <c r="Z160" s="10">
        <f t="shared" si="43"/>
        <v>54954.08738576241</v>
      </c>
      <c r="AA160" s="10" t="str">
        <f t="shared" si="44"/>
        <v>345286.714431685i</v>
      </c>
      <c r="AB160" s="10">
        <f>$T$6/'5. Current Sense Resistor'!$B$11</f>
        <v>100</v>
      </c>
      <c r="AD160" s="10" t="str">
        <f t="shared" si="39"/>
        <v>0.00414056149046297-0.00119378821669546i</v>
      </c>
      <c r="AE160" s="10" t="str">
        <f t="shared" si="40"/>
        <v>0.865317174126566-1.00079485473056i</v>
      </c>
      <c r="AF160" s="10" t="str">
        <f t="shared" si="45"/>
        <v>0.0417510815265369-0.0905045119148138i</v>
      </c>
      <c r="AG160" s="10">
        <f t="shared" si="46"/>
        <v>9.9670554757030447E-2</v>
      </c>
      <c r="AH160" s="10">
        <f t="shared" si="36"/>
        <v>-1.1385728537013839</v>
      </c>
      <c r="AI160" s="10">
        <f t="shared" si="37"/>
        <v>-65.235419185255424</v>
      </c>
      <c r="AJ160" s="10">
        <f t="shared" si="38"/>
        <v>-20.02866248979338</v>
      </c>
      <c r="AL160" s="10" t="str">
        <f t="shared" si="41"/>
        <v>0.00678550649396011-0.0000952435293757931i</v>
      </c>
      <c r="AM160" s="10" t="str">
        <f t="shared" si="42"/>
        <v>0.410916355174823-0.477010979217845i</v>
      </c>
      <c r="AN160" s="10" t="str">
        <f t="shared" si="47"/>
        <v>-1.18490834331423+1.415188031523i</v>
      </c>
      <c r="AO160" s="10">
        <f t="shared" si="48"/>
        <v>1.84574238360114</v>
      </c>
      <c r="AP160" s="10">
        <f t="shared" si="49"/>
        <v>2.2678591458073432</v>
      </c>
      <c r="AQ160" s="10">
        <f t="shared" si="50"/>
        <v>129.93875758490475</v>
      </c>
      <c r="AR160" s="10">
        <f t="shared" si="51"/>
        <v>5.3234216999090496</v>
      </c>
      <c r="AS160" s="10">
        <f t="shared" si="52"/>
        <v>-14.70524078988433</v>
      </c>
      <c r="AT160" s="10">
        <f t="shared" si="53"/>
        <v>64.703338399649326</v>
      </c>
    </row>
    <row r="161" spans="25:46" x14ac:dyDescent="0.25">
      <c r="Y161" s="10">
        <v>159</v>
      </c>
      <c r="Z161" s="10">
        <f t="shared" si="43"/>
        <v>58884.365535558936</v>
      </c>
      <c r="AA161" s="10" t="str">
        <f t="shared" si="44"/>
        <v>369981.380355616i</v>
      </c>
      <c r="AB161" s="10">
        <f>$T$6/'5. Current Sense Resistor'!$B$11</f>
        <v>100</v>
      </c>
      <c r="AD161" s="10" t="str">
        <f t="shared" si="39"/>
        <v>0.00414037683240652-0.00111410819405619i</v>
      </c>
      <c r="AE161" s="10" t="str">
        <f t="shared" si="40"/>
        <v>0.845273802459045-1.07115879866553i</v>
      </c>
      <c r="AF161" s="10" t="str">
        <f t="shared" si="45"/>
        <v>0.0403210712240025-0.0939987332755912i</v>
      </c>
      <c r="AG161" s="10">
        <f t="shared" si="46"/>
        <v>0.10228172193538208</v>
      </c>
      <c r="AH161" s="10">
        <f t="shared" si="36"/>
        <v>-1.1655819301622079</v>
      </c>
      <c r="AI161" s="10">
        <f t="shared" si="37"/>
        <v>-66.782925275006789</v>
      </c>
      <c r="AJ161" s="10">
        <f t="shared" si="38"/>
        <v>-19.804039382812423</v>
      </c>
      <c r="AL161" s="10" t="str">
        <f t="shared" si="41"/>
        <v>0.00678550531543135-0.000088886433518514i</v>
      </c>
      <c r="AM161" s="10" t="str">
        <f t="shared" si="42"/>
        <v>0.379192086183383-0.469146687685312i</v>
      </c>
      <c r="AN161" s="10" t="str">
        <f t="shared" si="47"/>
        <v>-1.09352554869664+1.38978822607127i</v>
      </c>
      <c r="AO161" s="10">
        <f t="shared" si="48"/>
        <v>1.7684200403124295</v>
      </c>
      <c r="AP161" s="10">
        <f t="shared" si="49"/>
        <v>2.2374543565940934</v>
      </c>
      <c r="AQ161" s="10">
        <f t="shared" si="50"/>
        <v>128.19669148600065</v>
      </c>
      <c r="AR161" s="10">
        <f t="shared" si="51"/>
        <v>4.9517085565675742</v>
      </c>
      <c r="AS161" s="10">
        <f t="shared" si="52"/>
        <v>-14.852330826244849</v>
      </c>
      <c r="AT161" s="10">
        <f t="shared" si="53"/>
        <v>61.413766210993856</v>
      </c>
    </row>
    <row r="162" spans="25:46" x14ac:dyDescent="0.25">
      <c r="Y162" s="10">
        <v>160</v>
      </c>
      <c r="Z162" s="10">
        <f t="shared" si="43"/>
        <v>63095.734448019342</v>
      </c>
      <c r="AA162" s="10" t="str">
        <f t="shared" si="44"/>
        <v>396442.1916295i</v>
      </c>
      <c r="AB162" s="10">
        <f>$T$6/'5. Current Sense Resistor'!$B$11</f>
        <v>100</v>
      </c>
      <c r="AD162" s="10" t="str">
        <f t="shared" si="39"/>
        <v>0.00414021600190696-0.00103974643157427i</v>
      </c>
      <c r="AE162" s="10" t="str">
        <f t="shared" si="40"/>
        <v>0.822233712983956-1.14626555737061i</v>
      </c>
      <c r="AF162" s="10" t="str">
        <f t="shared" si="45"/>
        <v>0.0386783156099819-0.0979143631478275i</v>
      </c>
      <c r="AG162" s="10">
        <f t="shared" si="46"/>
        <v>0.10527694243788623</v>
      </c>
      <c r="AH162" s="10">
        <f t="shared" si="36"/>
        <v>-1.194588787121301</v>
      </c>
      <c r="AI162" s="10">
        <f t="shared" si="37"/>
        <v>-68.444895755702504</v>
      </c>
      <c r="AJ162" s="10">
        <f t="shared" si="38"/>
        <v>-19.553334735551626</v>
      </c>
      <c r="AL162" s="10" t="str">
        <f t="shared" si="41"/>
        <v>0.0067855042889757-0.0000829536464493888i</v>
      </c>
      <c r="AM162" s="10" t="str">
        <f t="shared" si="42"/>
        <v>0.348640378429871-0.459380168419785i</v>
      </c>
      <c r="AN162" s="10" t="str">
        <f t="shared" si="47"/>
        <v>-1.00552040196583+1.35909234450997i</v>
      </c>
      <c r="AO162" s="10">
        <f t="shared" si="48"/>
        <v>1.6906221575725107</v>
      </c>
      <c r="AP162" s="10">
        <f t="shared" si="49"/>
        <v>2.2077677899612724</v>
      </c>
      <c r="AQ162" s="10">
        <f t="shared" si="50"/>
        <v>126.49577650970612</v>
      </c>
      <c r="AR162" s="10">
        <f t="shared" si="51"/>
        <v>4.5609311322391584</v>
      </c>
      <c r="AS162" s="10">
        <f t="shared" si="52"/>
        <v>-14.992403603312468</v>
      </c>
      <c r="AT162" s="10">
        <f t="shared" si="53"/>
        <v>58.050880754003614</v>
      </c>
    </row>
    <row r="163" spans="25:46" x14ac:dyDescent="0.25">
      <c r="Y163" s="10">
        <v>161</v>
      </c>
      <c r="Z163" s="10">
        <f t="shared" si="43"/>
        <v>67608.297539198174</v>
      </c>
      <c r="AA163" s="10" t="str">
        <f t="shared" si="44"/>
        <v>424795.461741716i</v>
      </c>
      <c r="AB163" s="10">
        <f>$T$6/'5. Current Sense Resistor'!$B$11</f>
        <v>100</v>
      </c>
      <c r="AD163" s="10" t="str">
        <f t="shared" si="39"/>
        <v>0.00414007592435535-0.000970347965494047i</v>
      </c>
      <c r="AE163" s="10" t="str">
        <f t="shared" si="40"/>
        <v>0.795744944723714-1.226383382063i</v>
      </c>
      <c r="AF163" s="10" t="str">
        <f t="shared" si="45"/>
        <v>0.0367906620258319-0.102263458081702i</v>
      </c>
      <c r="AG163" s="10">
        <f t="shared" si="46"/>
        <v>0.10868011626386406</v>
      </c>
      <c r="AH163" s="10">
        <f t="shared" si="36"/>
        <v>-1.225450107149594</v>
      </c>
      <c r="AI163" s="10">
        <f t="shared" si="37"/>
        <v>-70.213119143526242</v>
      </c>
      <c r="AJ163" s="10">
        <f t="shared" si="38"/>
        <v>-19.276998113083007</v>
      </c>
      <c r="AL163" s="10" t="str">
        <f t="shared" si="41"/>
        <v>0.00678550339497022-0.000077416847385369i</v>
      </c>
      <c r="AM163" s="10" t="str">
        <f t="shared" si="42"/>
        <v>0.319471160789368-0.447917410994474i</v>
      </c>
      <c r="AN163" s="10" t="str">
        <f t="shared" si="47"/>
        <v>-0.92149759826631+1.32368150724543i</v>
      </c>
      <c r="AO163" s="10">
        <f t="shared" si="48"/>
        <v>1.6128516845122838</v>
      </c>
      <c r="AP163" s="10">
        <f t="shared" si="49"/>
        <v>2.1789422289188418</v>
      </c>
      <c r="AQ163" s="10">
        <f t="shared" si="50"/>
        <v>124.84419351987812</v>
      </c>
      <c r="AR163" s="10">
        <f t="shared" si="51"/>
        <v>4.1518886427643578</v>
      </c>
      <c r="AS163" s="10">
        <f t="shared" si="52"/>
        <v>-15.125109470318648</v>
      </c>
      <c r="AT163" s="10">
        <f t="shared" si="53"/>
        <v>54.631074376351876</v>
      </c>
    </row>
    <row r="164" spans="25:46" x14ac:dyDescent="0.25">
      <c r="Y164" s="10">
        <v>162</v>
      </c>
      <c r="Z164" s="10">
        <f t="shared" si="43"/>
        <v>72443.596007498985</v>
      </c>
      <c r="AA164" s="10" t="str">
        <f t="shared" si="44"/>
        <v>455176.538033571i</v>
      </c>
      <c r="AB164" s="10">
        <f>$T$6/'5. Current Sense Resistor'!$B$11</f>
        <v>100</v>
      </c>
      <c r="AD164" s="10" t="str">
        <f t="shared" si="39"/>
        <v>0.00413995392187604-0.000905581523009421i</v>
      </c>
      <c r="AE164" s="10" t="str">
        <f t="shared" si="40"/>
        <v>0.765286387769091-1.31178162807662i</v>
      </c>
      <c r="AF164" s="10" t="str">
        <f t="shared" si="45"/>
        <v>0.034621069541846-0.107058473922641i</v>
      </c>
      <c r="AG164" s="10">
        <f t="shared" si="46"/>
        <v>0.1125172666521283</v>
      </c>
      <c r="AH164" s="10">
        <f t="shared" si="36"/>
        <v>-1.2580261290872665</v>
      </c>
      <c r="AI164" s="10">
        <f t="shared" si="37"/>
        <v>-72.079587713880471</v>
      </c>
      <c r="AJ164" s="10">
        <f t="shared" si="38"/>
        <v>-18.975616531259437</v>
      </c>
      <c r="AL164" s="10" t="str">
        <f t="shared" si="41"/>
        <v>0.00678550261632399-0.0000722496058331813i</v>
      </c>
      <c r="AM164" s="10" t="str">
        <f t="shared" si="42"/>
        <v>0.29185084170578-0.434986875164239i</v>
      </c>
      <c r="AN164" s="10" t="str">
        <f t="shared" si="47"/>
        <v>-0.841936472509409+1.28420237711615i</v>
      </c>
      <c r="AO164" s="10">
        <f t="shared" si="48"/>
        <v>1.535588736977566</v>
      </c>
      <c r="AP164" s="10">
        <f t="shared" si="49"/>
        <v>2.1511055049667087</v>
      </c>
      <c r="AQ164" s="10">
        <f t="shared" si="50"/>
        <v>123.24926672195016</v>
      </c>
      <c r="AR164" s="10">
        <f t="shared" si="51"/>
        <v>3.7254983610871948</v>
      </c>
      <c r="AS164" s="10">
        <f t="shared" si="52"/>
        <v>-15.250118170172243</v>
      </c>
      <c r="AT164" s="10">
        <f t="shared" si="53"/>
        <v>51.169679008069693</v>
      </c>
    </row>
    <row r="165" spans="25:46" x14ac:dyDescent="0.25">
      <c r="Y165" s="10">
        <v>163</v>
      </c>
      <c r="Z165" s="10">
        <f t="shared" si="43"/>
        <v>77624.711662869129</v>
      </c>
      <c r="AA165" s="10" t="str">
        <f t="shared" si="44"/>
        <v>487730.447794191i</v>
      </c>
      <c r="AB165" s="10">
        <f>$T$6/'5. Current Sense Resistor'!$B$11</f>
        <v>100</v>
      </c>
      <c r="AD165" s="10" t="str">
        <f t="shared" si="39"/>
        <v>0.00413984766213432-0.000845137941248292i</v>
      </c>
      <c r="AE165" s="10" t="str">
        <f t="shared" si="40"/>
        <v>0.730257026408455-1.40272596488446i</v>
      </c>
      <c r="AF165" s="10" t="str">
        <f t="shared" si="45"/>
        <v>0.0321268515635704-0.112311883325577i</v>
      </c>
      <c r="AG165" s="10">
        <f t="shared" si="46"/>
        <v>0.11681649595637471</v>
      </c>
      <c r="AH165" s="10">
        <f t="shared" si="36"/>
        <v>-1.2921860106563015</v>
      </c>
      <c r="AI165" s="10">
        <f t="shared" si="37"/>
        <v>-74.036804756452895</v>
      </c>
      <c r="AJ165" s="10">
        <f t="shared" si="38"/>
        <v>-18.649916501155126</v>
      </c>
      <c r="AL165" s="10" t="str">
        <f t="shared" si="41"/>
        <v>0.0067855019381515-0.0000674272554207437i</v>
      </c>
      <c r="AM165" s="10" t="str">
        <f t="shared" si="42"/>
        <v>0.265900871370788-0.420829444173162i</v>
      </c>
      <c r="AN165" s="10" t="str">
        <f t="shared" si="47"/>
        <v>-0.767186857564627+1.24133816521673i</v>
      </c>
      <c r="AO165" s="10">
        <f t="shared" si="48"/>
        <v>1.4592793135118187</v>
      </c>
      <c r="AP165" s="10">
        <f t="shared" si="49"/>
        <v>2.124369333263461</v>
      </c>
      <c r="AQ165" s="10">
        <f t="shared" si="50"/>
        <v>121.71739692301696</v>
      </c>
      <c r="AR165" s="10">
        <f t="shared" si="51"/>
        <v>3.2827685206247597</v>
      </c>
      <c r="AS165" s="10">
        <f t="shared" si="52"/>
        <v>-15.367147980530365</v>
      </c>
      <c r="AT165" s="10">
        <f t="shared" si="53"/>
        <v>47.680592166564068</v>
      </c>
    </row>
    <row r="166" spans="25:46" x14ac:dyDescent="0.25">
      <c r="Y166" s="10">
        <v>164</v>
      </c>
      <c r="Z166" s="10">
        <f t="shared" si="43"/>
        <v>83176.377110267029</v>
      </c>
      <c r="AA166" s="10" t="str">
        <f t="shared" si="44"/>
        <v>522612.590563658i</v>
      </c>
      <c r="AB166" s="10">
        <f>$T$6/'5. Current Sense Resistor'!$B$11</f>
        <v>100</v>
      </c>
      <c r="AD166" s="10" t="str">
        <f t="shared" si="39"/>
        <v>0.00413975511374973-0.000788728691735691i</v>
      </c>
      <c r="AE166" s="10" t="str">
        <f t="shared" si="40"/>
        <v>0.689963522792463-1.49947184088825i</v>
      </c>
      <c r="AF166" s="10" t="str">
        <f t="shared" si="45"/>
        <v>0.0292588034689262-0.1180356686699i</v>
      </c>
      <c r="AG166" s="10">
        <f t="shared" si="46"/>
        <v>0.12160796297440254</v>
      </c>
      <c r="AH166" s="10">
        <f t="shared" si="36"/>
        <v>-1.3278129778226551</v>
      </c>
      <c r="AI166" s="10">
        <f t="shared" si="37"/>
        <v>-76.078079611936118</v>
      </c>
      <c r="AJ166" s="10">
        <f t="shared" si="38"/>
        <v>-18.3007597245198</v>
      </c>
      <c r="AL166" s="10" t="str">
        <f t="shared" si="41"/>
        <v>0.00678550134748791-0.0000629267761497688i</v>
      </c>
      <c r="AM166" s="10" t="str">
        <f t="shared" si="42"/>
        <v>0.241698723533237-0.405688967047651i</v>
      </c>
      <c r="AN166" s="10" t="str">
        <f t="shared" si="47"/>
        <v>-0.697471912254981+1.19578133694281i</v>
      </c>
      <c r="AO166" s="10">
        <f t="shared" si="48"/>
        <v>1.3843265778584743</v>
      </c>
      <c r="AP166" s="10">
        <f t="shared" si="49"/>
        <v>2.0988288438058329</v>
      </c>
      <c r="AQ166" s="10">
        <f t="shared" si="50"/>
        <v>120.25403467039649</v>
      </c>
      <c r="AR166" s="10">
        <f t="shared" si="51"/>
        <v>2.8247711410100091</v>
      </c>
      <c r="AS166" s="10">
        <f t="shared" si="52"/>
        <v>-15.475988583509791</v>
      </c>
      <c r="AT166" s="10">
        <f t="shared" si="53"/>
        <v>44.175955058460374</v>
      </c>
    </row>
    <row r="167" spans="25:46" x14ac:dyDescent="0.25">
      <c r="Y167" s="10">
        <v>165</v>
      </c>
      <c r="Z167" s="10">
        <f t="shared" si="43"/>
        <v>89125.093813374449</v>
      </c>
      <c r="AA167" s="10" t="str">
        <f t="shared" si="44"/>
        <v>559989.479949197i</v>
      </c>
      <c r="AB167" s="10">
        <f>$T$6/'5. Current Sense Resistor'!$B$11</f>
        <v>100</v>
      </c>
      <c r="AD167" s="10" t="str">
        <f t="shared" si="39"/>
        <v>0.00413967450746243-0.000736084503303998i</v>
      </c>
      <c r="AE167" s="10" t="str">
        <f t="shared" si="40"/>
        <v>0.643605925890561-1.60225564587076i</v>
      </c>
      <c r="AF167" s="10" t="str">
        <f t="shared" si="45"/>
        <v>0.0259602009266452-0.124240650348455i</v>
      </c>
      <c r="AG167" s="10">
        <f t="shared" si="46"/>
        <v>0.12692387967265592</v>
      </c>
      <c r="AH167" s="10">
        <f t="shared" si="36"/>
        <v>-1.3648090928552696</v>
      </c>
      <c r="AI167" s="10">
        <f t="shared" si="37"/>
        <v>-78.197800861685437</v>
      </c>
      <c r="AJ167" s="10">
        <f t="shared" si="38"/>
        <v>-17.929133226441269</v>
      </c>
      <c r="AL167" s="10" t="str">
        <f t="shared" si="41"/>
        <v>0.00678550083304143-0.0000587266845074791i</v>
      </c>
      <c r="AM167" s="10" t="str">
        <f t="shared" si="42"/>
        <v>0.21928087028892-0.389803945653268i</v>
      </c>
      <c r="AN167" s="10" t="str">
        <f t="shared" si="47"/>
        <v>-0.632896690181486+1.14820961894254i</v>
      </c>
      <c r="AO167" s="10">
        <f t="shared" si="48"/>
        <v>1.3110848750080417</v>
      </c>
      <c r="AP167" s="10">
        <f t="shared" si="49"/>
        <v>2.0745627461615657</v>
      </c>
      <c r="AQ167" s="10">
        <f t="shared" si="50"/>
        <v>118.86368969012764</v>
      </c>
      <c r="AR167" s="10">
        <f t="shared" si="51"/>
        <v>2.35261614584594</v>
      </c>
      <c r="AS167" s="10">
        <f t="shared" si="52"/>
        <v>-15.57651708059533</v>
      </c>
      <c r="AT167" s="10">
        <f t="shared" si="53"/>
        <v>40.665888828442206</v>
      </c>
    </row>
    <row r="168" spans="25:46" x14ac:dyDescent="0.25">
      <c r="Y168" s="10">
        <v>166</v>
      </c>
      <c r="Z168" s="10">
        <f t="shared" si="43"/>
        <v>95499.258602143629</v>
      </c>
      <c r="AA168" s="10" t="str">
        <f t="shared" si="44"/>
        <v>600039.538495533i</v>
      </c>
      <c r="AB168" s="10">
        <f>$T$6/'5. Current Sense Resistor'!$B$11</f>
        <v>100</v>
      </c>
      <c r="AD168" s="10" t="str">
        <f t="shared" si="39"/>
        <v>0.0041396043023104-0.000686954076886657i</v>
      </c>
      <c r="AE168" s="10" t="str">
        <f t="shared" si="40"/>
        <v>0.590261295839549-1.71128283454091i</v>
      </c>
      <c r="AF168" s="10" t="str">
        <f t="shared" si="45"/>
        <v>0.0221656552421447-0.130935597691274i</v>
      </c>
      <c r="AG168" s="10">
        <f t="shared" si="46"/>
        <v>0.13279852037987763</v>
      </c>
      <c r="AH168" s="10">
        <f t="shared" si="36"/>
        <v>-1.4030995159284352</v>
      </c>
      <c r="AI168" s="10">
        <f t="shared" si="37"/>
        <v>-80.391680499548158</v>
      </c>
      <c r="AJ168" s="10">
        <f t="shared" si="38"/>
        <v>-17.536135275630247</v>
      </c>
      <c r="AL168" s="10" t="str">
        <f t="shared" si="41"/>
        <v>0.00678550038497729-0.0000548069309128776i</v>
      </c>
      <c r="AM168" s="10" t="str">
        <f t="shared" si="42"/>
        <v>0.198647224045801-0.373400723948427i</v>
      </c>
      <c r="AN168" s="10" t="str">
        <f t="shared" si="47"/>
        <v>-0.573460934784707+1.09926633634005i</v>
      </c>
      <c r="AO168" s="10">
        <f t="shared" si="48"/>
        <v>1.2398564118213957</v>
      </c>
      <c r="AP168" s="10">
        <f t="shared" si="49"/>
        <v>2.0516340328246088</v>
      </c>
      <c r="AQ168" s="10">
        <f t="shared" si="50"/>
        <v>117.54997118625468</v>
      </c>
      <c r="AR168" s="10">
        <f t="shared" si="51"/>
        <v>1.8674278457538109</v>
      </c>
      <c r="AS168" s="10">
        <f t="shared" si="52"/>
        <v>-15.668707429876436</v>
      </c>
      <c r="AT168" s="10">
        <f t="shared" si="53"/>
        <v>37.158290686706522</v>
      </c>
    </row>
    <row r="169" spans="25:46" x14ac:dyDescent="0.25">
      <c r="Y169" s="10">
        <v>167</v>
      </c>
      <c r="Z169" s="10">
        <f t="shared" si="43"/>
        <v>102329.29922807543</v>
      </c>
      <c r="AA169" s="10" t="str">
        <f t="shared" si="44"/>
        <v>642953.949403827i</v>
      </c>
      <c r="AB169" s="10">
        <f>$T$6/'5. Current Sense Resistor'!$B$11</f>
        <v>100</v>
      </c>
      <c r="AD169" s="10" t="str">
        <f t="shared" si="39"/>
        <v>0.00413954315617113-0.000641102886068416i</v>
      </c>
      <c r="AE169" s="10" t="str">
        <f t="shared" si="40"/>
        <v>0.52886506644614-1.82671203737864i</v>
      </c>
      <c r="AF169" s="10" t="str">
        <f t="shared" si="45"/>
        <v>0.01779981481059-0.138126053025622i</v>
      </c>
      <c r="AG169" s="10">
        <f t="shared" si="46"/>
        <v>0.13926823015938788</v>
      </c>
      <c r="AH169" s="10">
        <f t="shared" si="36"/>
        <v>-1.4426361902032829</v>
      </c>
      <c r="AI169" s="10">
        <f t="shared" si="37"/>
        <v>-82.656965071480386</v>
      </c>
      <c r="AJ169" s="10">
        <f t="shared" si="38"/>
        <v>-17.122958868948835</v>
      </c>
      <c r="AL169" s="10" t="str">
        <f t="shared" si="41"/>
        <v>0.00678549999472979-0.0000511488040080238i</v>
      </c>
      <c r="AM169" s="10" t="str">
        <f t="shared" si="42"/>
        <v>0.179766499218619-0.356688340379158i</v>
      </c>
      <c r="AN169" s="10" t="str">
        <f t="shared" si="47"/>
        <v>-0.519074523714181+1.04954554362184i</v>
      </c>
      <c r="AO169" s="10">
        <f t="shared" si="48"/>
        <v>1.1708903489676423</v>
      </c>
      <c r="AP169" s="10">
        <f t="shared" si="49"/>
        <v>2.0300911079345472</v>
      </c>
      <c r="AQ169" s="10">
        <f t="shared" si="50"/>
        <v>116.31565251168682</v>
      </c>
      <c r="AR169" s="10">
        <f t="shared" si="51"/>
        <v>1.3703245271004452</v>
      </c>
      <c r="AS169" s="10">
        <f t="shared" si="52"/>
        <v>-15.75263434184839</v>
      </c>
      <c r="AT169" s="10">
        <f t="shared" si="53"/>
        <v>33.658687440206435</v>
      </c>
    </row>
    <row r="170" spans="25:46" x14ac:dyDescent="0.25">
      <c r="Y170" s="10">
        <v>168</v>
      </c>
      <c r="Z170" s="10">
        <f t="shared" si="43"/>
        <v>109647.81961431848</v>
      </c>
      <c r="AA170" s="10" t="str">
        <f t="shared" si="44"/>
        <v>688937.569164963i</v>
      </c>
      <c r="AB170" s="10">
        <f>$T$6/'5. Current Sense Resistor'!$B$11</f>
        <v>100</v>
      </c>
      <c r="AD170" s="10" t="str">
        <f t="shared" si="39"/>
        <v>0.00413948990010403-0.000598312057672909i</v>
      </c>
      <c r="AE170" s="10" t="str">
        <f t="shared" si="40"/>
        <v>0.458190048825411-1.94863387313317i</v>
      </c>
      <c r="AF170" s="10" t="str">
        <f t="shared" si="45"/>
        <v>0.0127759079922294-0.145812777408275i</v>
      </c>
      <c r="AG170" s="10">
        <f t="shared" si="46"/>
        <v>0.14637141073495558</v>
      </c>
      <c r="AH170" s="10">
        <f t="shared" si="36"/>
        <v>-1.4834009395096337</v>
      </c>
      <c r="AI170" s="10">
        <f t="shared" si="37"/>
        <v>-84.992613159643142</v>
      </c>
      <c r="AJ170" s="10">
        <f t="shared" si="38"/>
        <v>-16.690874827920538</v>
      </c>
      <c r="AL170" s="10" t="str">
        <f t="shared" si="41"/>
        <v>0.00678549965483833-0.000047734841337446i</v>
      </c>
      <c r="AM170" s="10" t="str">
        <f t="shared" si="42"/>
        <v>0.162581986748073-0.339855035012519i</v>
      </c>
      <c r="AN170" s="10" t="str">
        <f t="shared" si="47"/>
        <v>-0.469574102356383+0.999581924785361i</v>
      </c>
      <c r="AO170" s="10">
        <f t="shared" si="48"/>
        <v>1.1043839286957278</v>
      </c>
      <c r="AP170" s="10">
        <f t="shared" si="49"/>
        <v>2.0099692228311632</v>
      </c>
      <c r="AQ170" s="10">
        <f t="shared" si="50"/>
        <v>115.16275341941576</v>
      </c>
      <c r="AR170" s="10">
        <f t="shared" si="51"/>
        <v>0.86240156076524133</v>
      </c>
      <c r="AS170" s="10">
        <f t="shared" si="52"/>
        <v>-15.828473267155298</v>
      </c>
      <c r="AT170" s="10">
        <f t="shared" si="53"/>
        <v>30.170140259772623</v>
      </c>
    </row>
    <row r="171" spans="25:46" x14ac:dyDescent="0.25">
      <c r="Y171" s="10">
        <v>169</v>
      </c>
      <c r="Z171" s="10">
        <f t="shared" si="43"/>
        <v>117489.75549395289</v>
      </c>
      <c r="AA171" s="10" t="str">
        <f t="shared" si="44"/>
        <v>738209.905463727i</v>
      </c>
      <c r="AB171" s="10">
        <f>$T$6/'5. Current Sense Resistor'!$B$11</f>
        <v>100</v>
      </c>
      <c r="AD171" s="10" t="str">
        <f t="shared" si="39"/>
        <v>0.004139443516004-0.000558377327049426i</v>
      </c>
      <c r="AE171" s="10" t="str">
        <f t="shared" si="40"/>
        <v>0.376823139256253-2.07704277106567i</v>
      </c>
      <c r="AF171" s="10" t="str">
        <f t="shared" si="45"/>
        <v>0.00699413478670607-0.153989698049284i</v>
      </c>
      <c r="AG171" s="10">
        <f t="shared" si="46"/>
        <v>0.15414845126281443</v>
      </c>
      <c r="AH171" s="10">
        <f t="shared" si="36"/>
        <v>-1.5254080225938571</v>
      </c>
      <c r="AI171" s="10">
        <f t="shared" si="37"/>
        <v>-87.399441730024535</v>
      </c>
      <c r="AJ171" s="10">
        <f t="shared" si="38"/>
        <v>-16.241216685877898</v>
      </c>
      <c r="AL171" s="10" t="str">
        <f t="shared" si="41"/>
        <v>0.00678549935880531-0.0000445487459893116i</v>
      </c>
      <c r="AM171" s="10" t="str">
        <f t="shared" si="42"/>
        <v>0.147017316397602-0.323066275250628i</v>
      </c>
      <c r="AN171" s="10" t="str">
        <f t="shared" si="47"/>
        <v>-0.424739682165032+0.94984507036036i</v>
      </c>
      <c r="AO171" s="10">
        <f t="shared" si="48"/>
        <v>1.0404852018618667</v>
      </c>
      <c r="AP171" s="10">
        <f t="shared" si="49"/>
        <v>1.991292105197439</v>
      </c>
      <c r="AQ171" s="10">
        <f t="shared" si="50"/>
        <v>114.092633405534</v>
      </c>
      <c r="AR171" s="10">
        <f t="shared" si="51"/>
        <v>0.34471815812378925</v>
      </c>
      <c r="AS171" s="10">
        <f t="shared" si="52"/>
        <v>-15.896498527754108</v>
      </c>
      <c r="AT171" s="10">
        <f t="shared" si="53"/>
        <v>26.693191675509468</v>
      </c>
    </row>
    <row r="172" spans="25:46" x14ac:dyDescent="0.25">
      <c r="Y172" s="10">
        <v>170</v>
      </c>
      <c r="Z172" s="10">
        <f t="shared" si="43"/>
        <v>125892.54117941685</v>
      </c>
      <c r="AA172" s="10" t="str">
        <f t="shared" si="44"/>
        <v>791006.165022013i</v>
      </c>
      <c r="AB172" s="10">
        <f>$T$6/'5. Current Sense Resistor'!$B$11</f>
        <v>100</v>
      </c>
      <c r="AD172" s="10" t="str">
        <f t="shared" si="39"/>
        <v>0.00413940311713821-0.000521108063076085i</v>
      </c>
      <c r="AE172" s="10" t="str">
        <f t="shared" si="40"/>
        <v>0.2831400851593-2.2117995892687i</v>
      </c>
      <c r="AF172" s="10" t="str">
        <f t="shared" si="45"/>
        <v>0.000339936210120489-0.162641200973084i</v>
      </c>
      <c r="AG172" s="10">
        <f t="shared" si="46"/>
        <v>0.16264155622286097</v>
      </c>
      <c r="AH172" s="10">
        <f t="shared" si="36"/>
        <v>-1.5687062308469903</v>
      </c>
      <c r="AI172" s="10">
        <f t="shared" si="37"/>
        <v>-89.880246323407576</v>
      </c>
      <c r="AJ172" s="10">
        <f t="shared" si="38"/>
        <v>-15.775369576755045</v>
      </c>
      <c r="AL172" s="10" t="str">
        <f t="shared" si="41"/>
        <v>0.00678549910097134-0.0000415753088004305i</v>
      </c>
      <c r="AM172" s="10" t="str">
        <f t="shared" si="42"/>
        <v>0.132981883876571-0.306464082016798i</v>
      </c>
      <c r="AN172" s="10" t="str">
        <f t="shared" si="47"/>
        <v>-0.384310273526147+0.900737502865353i</v>
      </c>
      <c r="AO172" s="10">
        <f t="shared" si="48"/>
        <v>0.97929690870841313</v>
      </c>
      <c r="AP172" s="10">
        <f t="shared" si="49"/>
        <v>1.9740736812269224</v>
      </c>
      <c r="AQ172" s="10">
        <f t="shared" si="50"/>
        <v>113.10609038215651</v>
      </c>
      <c r="AR172" s="10">
        <f t="shared" si="51"/>
        <v>-0.18171232809534493</v>
      </c>
      <c r="AS172" s="10">
        <f t="shared" si="52"/>
        <v>-15.957081904850391</v>
      </c>
      <c r="AT172" s="10">
        <f t="shared" si="53"/>
        <v>23.225844058748933</v>
      </c>
    </row>
    <row r="173" spans="25:46" x14ac:dyDescent="0.25">
      <c r="Y173" s="10">
        <v>171</v>
      </c>
      <c r="Z173" s="10">
        <f t="shared" si="43"/>
        <v>134896.28825916522</v>
      </c>
      <c r="AA173" s="10" t="str">
        <f t="shared" si="44"/>
        <v>847578.376383049i</v>
      </c>
      <c r="AB173" s="10">
        <f>$T$6/'5. Current Sense Resistor'!$B$11</f>
        <v>100</v>
      </c>
      <c r="AD173" s="10" t="str">
        <f t="shared" si="39"/>
        <v>0.00413936793119434-0.000486326358228725i</v>
      </c>
      <c r="AE173" s="10" t="str">
        <f t="shared" si="40"/>
        <v>0.175279163392001-2.35258216008712i</v>
      </c>
      <c r="AF173" s="10" t="str">
        <f t="shared" si="45"/>
        <v>-0.00731779311883941-0.17173856689109i</v>
      </c>
      <c r="AG173" s="10">
        <f t="shared" si="46"/>
        <v>0.17189440204362538</v>
      </c>
      <c r="AH173" s="10">
        <f t="shared" si="36"/>
        <v>-1.6133806414085312</v>
      </c>
      <c r="AI173" s="10">
        <f t="shared" si="37"/>
        <v>-92.43990150081855</v>
      </c>
      <c r="AJ173" s="10">
        <f t="shared" si="38"/>
        <v>-15.294765328521883</v>
      </c>
      <c r="AL173" s="10" t="str">
        <f t="shared" si="41"/>
        <v>0.00678549887640728-0.0000388003357537374i</v>
      </c>
      <c r="AM173" s="10" t="str">
        <f t="shared" si="42"/>
        <v>0.120375724537239-0.290167398608592i</v>
      </c>
      <c r="AN173" s="10" t="str">
        <f t="shared" si="47"/>
        <v>-0.347997924476645+0.85259570792714i</v>
      </c>
      <c r="AO173" s="10">
        <f t="shared" si="48"/>
        <v>0.92088109797944806</v>
      </c>
      <c r="AP173" s="10">
        <f t="shared" si="49"/>
        <v>1.9583198071727301</v>
      </c>
      <c r="AQ173" s="10">
        <f t="shared" si="50"/>
        <v>112.20345988787064</v>
      </c>
      <c r="AR173" s="10">
        <f t="shared" si="51"/>
        <v>-0.71592882548734704</v>
      </c>
      <c r="AS173" s="10">
        <f t="shared" si="52"/>
        <v>-16.010694154009229</v>
      </c>
      <c r="AT173" s="10">
        <f t="shared" si="53"/>
        <v>19.763558387052086</v>
      </c>
    </row>
    <row r="174" spans="25:46" x14ac:dyDescent="0.25">
      <c r="Y174" s="10">
        <v>172</v>
      </c>
      <c r="Z174" s="10">
        <f t="shared" si="43"/>
        <v>144543.97707459255</v>
      </c>
      <c r="AA174" s="10" t="str">
        <f t="shared" si="44"/>
        <v>908196.592996383i</v>
      </c>
      <c r="AB174" s="10">
        <f>$T$6/'5. Current Sense Resistor'!$B$11</f>
        <v>100</v>
      </c>
      <c r="AD174" s="10" t="str">
        <f t="shared" si="39"/>
        <v>0.00413933728551634-0.000453866179374746i</v>
      </c>
      <c r="AE174" s="10" t="str">
        <f t="shared" si="40"/>
        <v>0.0511154545250932-2.49882009939855i</v>
      </c>
      <c r="AF174" s="10" t="str">
        <f t="shared" si="45"/>
        <v>-0.0161284235083393-0.181235293414167i</v>
      </c>
      <c r="AG174" s="10">
        <f t="shared" si="46"/>
        <v>0.1819515254780337</v>
      </c>
      <c r="AH174" s="10">
        <f t="shared" si="36"/>
        <v>-1.6595541397851021</v>
      </c>
      <c r="AI174" s="10">
        <f t="shared" si="37"/>
        <v>-95.085448083150197</v>
      </c>
      <c r="AJ174" s="10">
        <f t="shared" si="38"/>
        <v>-14.800885978920666</v>
      </c>
      <c r="AL174" s="10" t="str">
        <f t="shared" si="41"/>
        <v>0.00678549868082018-0.0000362105802216734i</v>
      </c>
      <c r="AM174" s="10" t="str">
        <f t="shared" si="42"/>
        <v>0.10909371025398-0.274273238783484i</v>
      </c>
      <c r="AN174" s="10" t="str">
        <f t="shared" si="47"/>
        <v>-0.315499809844166+0.805693412086462i</v>
      </c>
      <c r="AO174" s="10">
        <f t="shared" si="48"/>
        <v>0.86526412400563002</v>
      </c>
      <c r="AP174" s="10">
        <f t="shared" si="49"/>
        <v>1.9440299450700824</v>
      </c>
      <c r="AQ174" s="10">
        <f t="shared" si="50"/>
        <v>111.38471109956498</v>
      </c>
      <c r="AR174" s="10">
        <f t="shared" si="51"/>
        <v>-1.2570260567380933</v>
      </c>
      <c r="AS174" s="10">
        <f t="shared" si="52"/>
        <v>-16.057912035658759</v>
      </c>
      <c r="AT174" s="10">
        <f t="shared" si="53"/>
        <v>16.299263016414784</v>
      </c>
    </row>
    <row r="175" spans="25:46" x14ac:dyDescent="0.25">
      <c r="Y175" s="10">
        <v>173</v>
      </c>
      <c r="Z175" s="10">
        <f t="shared" si="43"/>
        <v>154881.66189124787</v>
      </c>
      <c r="AA175" s="10" t="str">
        <f t="shared" si="44"/>
        <v>973150.182346645i</v>
      </c>
      <c r="AB175" s="10">
        <f>$T$6/'5. Current Sense Resistor'!$B$11</f>
        <v>100</v>
      </c>
      <c r="AD175" s="10" t="str">
        <f t="shared" si="39"/>
        <v>0.00413931059424507-0.000423572575240463i</v>
      </c>
      <c r="AE175" s="10" t="str">
        <f t="shared" si="40"/>
        <v>-0.0917612668314288-2.64960930998962i</v>
      </c>
      <c r="AF175" s="10" t="str">
        <f t="shared" si="45"/>
        <v>-0.0262610178802464-0.191060984813834i</v>
      </c>
      <c r="AG175" s="10">
        <f t="shared" si="46"/>
        <v>0.19285730729774989</v>
      </c>
      <c r="AH175" s="10">
        <f t="shared" si="36"/>
        <v>-1.7073888012671885</v>
      </c>
      <c r="AI175" s="10">
        <f t="shared" si="37"/>
        <v>-97.826172300510763</v>
      </c>
      <c r="AJ175" s="10">
        <f t="shared" si="38"/>
        <v>-14.295278024320947</v>
      </c>
      <c r="AL175" s="10" t="str">
        <f t="shared" si="41"/>
        <v>0.00678549851047095-0.0000337936797320273i</v>
      </c>
      <c r="AM175" s="10" t="str">
        <f t="shared" si="42"/>
        <v>0.0990290240352911-0.258858369132038i</v>
      </c>
      <c r="AN175" s="10" t="str">
        <f t="shared" si="47"/>
        <v>-0.286508239889381+0.760246401581629i</v>
      </c>
      <c r="AO175" s="10">
        <f t="shared" si="48"/>
        <v>0.81244172876725551</v>
      </c>
      <c r="AP175" s="10">
        <f t="shared" si="49"/>
        <v>1.9311987352999749</v>
      </c>
      <c r="AQ175" s="10">
        <f t="shared" si="50"/>
        <v>110.6495369336908</v>
      </c>
      <c r="AR175" s="10">
        <f t="shared" si="51"/>
        <v>-1.8041555677783832</v>
      </c>
      <c r="AS175" s="10">
        <f t="shared" si="52"/>
        <v>-16.099433592099331</v>
      </c>
      <c r="AT175" s="10">
        <f t="shared" si="53"/>
        <v>12.823364633180034</v>
      </c>
    </row>
    <row r="176" spans="25:46" x14ac:dyDescent="0.25">
      <c r="Y176" s="10">
        <v>174</v>
      </c>
      <c r="Z176" s="10">
        <f t="shared" si="43"/>
        <v>165958.69074375575</v>
      </c>
      <c r="AA176" s="10" t="str">
        <f t="shared" si="44"/>
        <v>1042749.20727993i</v>
      </c>
      <c r="AB176" s="10">
        <f>$T$6/'5. Current Sense Resistor'!$B$11</f>
        <v>100</v>
      </c>
      <c r="AD176" s="10" t="str">
        <f t="shared" si="39"/>
        <v>0.00413928734711847-0.000395300936770626i</v>
      </c>
      <c r="AE176" s="10" t="str">
        <f t="shared" si="40"/>
        <v>-0.256059906915474-2.80360068622819i</v>
      </c>
      <c r="AF176" s="10" t="str">
        <f t="shared" si="45"/>
        <v>-0.0379050963356001-0.201113428772796i</v>
      </c>
      <c r="AG176" s="10">
        <f t="shared" si="46"/>
        <v>0.20465436120679573</v>
      </c>
      <c r="AH176" s="10">
        <f t="shared" si="36"/>
        <v>-1.7570871630859206</v>
      </c>
      <c r="AI176" s="10">
        <f t="shared" si="37"/>
        <v>-100.67367868143822</v>
      </c>
      <c r="AJ176" s="10">
        <f t="shared" si="38"/>
        <v>-13.779579921144865</v>
      </c>
      <c r="AL176" s="10" t="str">
        <f t="shared" si="41"/>
        <v>0.00678549836210299-0.0000315380969543817i</v>
      </c>
      <c r="AM176" s="10" t="str">
        <f t="shared" si="42"/>
        <v>0.0900759253749877-0.24398131380883i</v>
      </c>
      <c r="AN176" s="10" t="str">
        <f t="shared" si="47"/>
        <v>-0.260718625915314+0.716418271512555i</v>
      </c>
      <c r="AO176" s="10">
        <f t="shared" si="48"/>
        <v>0.76238398570287824</v>
      </c>
      <c r="AP176" s="10">
        <f t="shared" si="49"/>
        <v>1.9198174346093946</v>
      </c>
      <c r="AQ176" s="10">
        <f t="shared" si="50"/>
        <v>109.99743643875121</v>
      </c>
      <c r="AR176" s="10">
        <f t="shared" si="51"/>
        <v>-2.3565246973924223</v>
      </c>
      <c r="AS176" s="10">
        <f t="shared" si="52"/>
        <v>-16.136104618537289</v>
      </c>
      <c r="AT176" s="10">
        <f t="shared" si="53"/>
        <v>9.3237577573129897</v>
      </c>
    </row>
    <row r="177" spans="25:46" x14ac:dyDescent="0.25">
      <c r="Y177" s="10">
        <v>175</v>
      </c>
      <c r="Z177" s="10">
        <f t="shared" si="43"/>
        <v>177827.94100389219</v>
      </c>
      <c r="AA177" s="10" t="str">
        <f t="shared" si="44"/>
        <v>1117325.90612165i</v>
      </c>
      <c r="AB177" s="10">
        <f>$T$6/'5. Current Sense Resistor'!$B$11</f>
        <v>100</v>
      </c>
      <c r="AD177" s="10" t="str">
        <f t="shared" si="39"/>
        <v>0.00413926709971674-0.000368916306850912i</v>
      </c>
      <c r="AE177" s="10" t="str">
        <f t="shared" si="40"/>
        <v>-0.444784364430863-2.95885681896752i</v>
      </c>
      <c r="AF177" s="10" t="str">
        <f t="shared" si="45"/>
        <v>-0.0512701366487977-0.211248434938006i</v>
      </c>
      <c r="AG177" s="10">
        <f t="shared" si="46"/>
        <v>0.21738106673706276</v>
      </c>
      <c r="AH177" s="10">
        <f t="shared" si="36"/>
        <v>-1.8088933213195395</v>
      </c>
      <c r="AI177" s="10">
        <f t="shared" si="37"/>
        <v>-103.64195290101151</v>
      </c>
      <c r="AJ177" s="10">
        <f t="shared" si="38"/>
        <v>-13.255565687946696</v>
      </c>
      <c r="AL177" s="10" t="str">
        <f t="shared" si="41"/>
        <v>0.00678549823287987-0.0000294330646254588i</v>
      </c>
      <c r="AM177" s="10" t="str">
        <f t="shared" si="42"/>
        <v>0.0821318589772305-0.229684509243481i</v>
      </c>
      <c r="AN177" s="10" t="str">
        <f t="shared" si="47"/>
        <v>-0.237835554458014+0.67432660872679i</v>
      </c>
      <c r="AO177" s="10">
        <f t="shared" si="48"/>
        <v>0.71503994727660081</v>
      </c>
      <c r="AP177" s="10">
        <f t="shared" si="49"/>
        <v>1.9098752014797187</v>
      </c>
      <c r="AQ177" s="10">
        <f t="shared" si="50"/>
        <v>109.42778844148563</v>
      </c>
      <c r="AR177" s="10">
        <f t="shared" si="51"/>
        <v>-2.9133938941275037</v>
      </c>
      <c r="AS177" s="10">
        <f t="shared" si="52"/>
        <v>-16.168959582074201</v>
      </c>
      <c r="AT177" s="10">
        <f t="shared" si="53"/>
        <v>5.7858355404741246</v>
      </c>
    </row>
    <row r="178" spans="25:46" x14ac:dyDescent="0.25">
      <c r="Y178" s="10">
        <v>176</v>
      </c>
      <c r="Z178" s="10">
        <f t="shared" si="43"/>
        <v>190546.07179632425</v>
      </c>
      <c r="AA178" s="10" t="str">
        <f t="shared" si="44"/>
        <v>1197236.27865145i</v>
      </c>
      <c r="AB178" s="10">
        <f>$T$6/'5. Current Sense Resistor'!$B$11</f>
        <v>100</v>
      </c>
      <c r="AD178" s="10" t="str">
        <f t="shared" si="39"/>
        <v>0.00413924946496636-0.000344292736099508i</v>
      </c>
      <c r="AE178" s="10" t="str">
        <f t="shared" si="40"/>
        <v>-0.661199691603863-3.11267048629779i</v>
      </c>
      <c r="AF178" s="10" t="str">
        <f t="shared" si="45"/>
        <v>-0.0665828725176725-0.22126701737927i</v>
      </c>
      <c r="AG178" s="10">
        <f t="shared" si="46"/>
        <v>0.23106789455184551</v>
      </c>
      <c r="AH178" s="10">
        <f t="shared" si="36"/>
        <v>-1.8630936356016587</v>
      </c>
      <c r="AI178" s="10">
        <f t="shared" si="37"/>
        <v>-106.74740215765958</v>
      </c>
      <c r="AJ178" s="10">
        <f t="shared" si="38"/>
        <v>-12.725207856976832</v>
      </c>
      <c r="AL178" s="10" t="str">
        <f t="shared" si="41"/>
        <v>0.00678549812033125-0.0000274685341504578i</v>
      </c>
      <c r="AM178" s="10" t="str">
        <f t="shared" si="42"/>
        <v>0.0750989828711911-0.21599647665213i</v>
      </c>
      <c r="AN178" s="10" t="str">
        <f t="shared" si="47"/>
        <v>-0.217577189022894+0.634049227568245i</v>
      </c>
      <c r="AO178" s="10">
        <f t="shared" si="48"/>
        <v>0.67034189497822094</v>
      </c>
      <c r="AP178" s="10">
        <f t="shared" si="49"/>
        <v>1.9013602210878844</v>
      </c>
      <c r="AQ178" s="10">
        <f t="shared" si="50"/>
        <v>108.93991600239688</v>
      </c>
      <c r="AR178" s="10">
        <f t="shared" si="51"/>
        <v>-3.4740727450724647</v>
      </c>
      <c r="AS178" s="10">
        <f t="shared" si="52"/>
        <v>-16.199280602049296</v>
      </c>
      <c r="AT178" s="10">
        <f t="shared" si="53"/>
        <v>2.1925138447373058</v>
      </c>
    </row>
    <row r="179" spans="25:46" x14ac:dyDescent="0.25">
      <c r="Y179" s="10">
        <v>177</v>
      </c>
      <c r="Z179" s="10">
        <f t="shared" si="43"/>
        <v>204173.79446695274</v>
      </c>
      <c r="AA179" s="10" t="str">
        <f t="shared" si="44"/>
        <v>1282861.78550586i</v>
      </c>
      <c r="AB179" s="10">
        <f>$T$6/'5. Current Sense Resistor'!$B$11</f>
        <v>100</v>
      </c>
      <c r="AD179" s="10" t="str">
        <f t="shared" si="39"/>
        <v>0.00413923410574037-0.000321312681653656i</v>
      </c>
      <c r="AE179" s="10" t="str">
        <f t="shared" si="40"/>
        <v>-0.908748244774717-3.26134030667227i</v>
      </c>
      <c r="AF179" s="10" t="str">
        <f t="shared" si="45"/>
        <v>-0.0840809742661754-0.230899627488234i</v>
      </c>
      <c r="AG179" s="10">
        <f t="shared" si="46"/>
        <v>0.24573206589241559</v>
      </c>
      <c r="AH179" s="10">
        <f t="shared" si="36"/>
        <v>-1.9200166030276826</v>
      </c>
      <c r="AI179" s="10">
        <f t="shared" si="37"/>
        <v>-110.00884794853141</v>
      </c>
      <c r="AJ179" s="10">
        <f t="shared" si="38"/>
        <v>-12.190763363562366</v>
      </c>
      <c r="AL179" s="10" t="str">
        <f t="shared" si="41"/>
        <v>0.0067854980223055-0.0000256351276350338i</v>
      </c>
      <c r="AM179" s="10" t="str">
        <f t="shared" si="42"/>
        <v>0.0688852024904025-0.202933917189666i</v>
      </c>
      <c r="AN179" s="10" t="str">
        <f t="shared" si="47"/>
        <v>-0.199678248747118+0.595630184273508i</v>
      </c>
      <c r="AO179" s="10">
        <f t="shared" si="48"/>
        <v>0.62820913670561096</v>
      </c>
      <c r="AP179" s="10">
        <f t="shared" si="49"/>
        <v>1.8942606696251496</v>
      </c>
      <c r="AQ179" s="10">
        <f t="shared" si="50"/>
        <v>108.53314166714624</v>
      </c>
      <c r="AR179" s="10">
        <f t="shared" si="51"/>
        <v>-4.0379150298112823</v>
      </c>
      <c r="AS179" s="10">
        <f t="shared" si="52"/>
        <v>-16.228678393373649</v>
      </c>
      <c r="AT179" s="10">
        <f t="shared" si="53"/>
        <v>-1.4757062813851718</v>
      </c>
    </row>
    <row r="180" spans="25:46" x14ac:dyDescent="0.25">
      <c r="Y180" s="10">
        <v>178</v>
      </c>
      <c r="Z180" s="10">
        <f t="shared" si="43"/>
        <v>218776.16239495497</v>
      </c>
      <c r="AA180" s="10" t="str">
        <f t="shared" si="44"/>
        <v>1374611.16912112i</v>
      </c>
      <c r="AB180" s="10">
        <f>$T$6/'5. Current Sense Resistor'!$B$11</f>
        <v>100</v>
      </c>
      <c r="AD180" s="10" t="str">
        <f t="shared" si="39"/>
        <v>0.00413922072841336-0.000299866446081972i</v>
      </c>
      <c r="AE180" s="10" t="str">
        <f t="shared" si="40"/>
        <v>-1.1908868847426-3.39990372238714i</v>
      </c>
      <c r="AF180" s="10" t="str">
        <f t="shared" si="45"/>
        <v>-0.104001061621945-0.239787499029741i</v>
      </c>
      <c r="AG180" s="10">
        <f t="shared" si="46"/>
        <v>0.26136997820987329</v>
      </c>
      <c r="AH180" s="10">
        <f t="shared" si="36"/>
        <v>-1.9800311484080071</v>
      </c>
      <c r="AI180" s="10">
        <f t="shared" si="37"/>
        <v>-113.44742810822036</v>
      </c>
      <c r="AJ180" s="10">
        <f t="shared" si="38"/>
        <v>-11.654885966828729</v>
      </c>
      <c r="AL180" s="10" t="str">
        <f t="shared" si="41"/>
        <v>0.00678549793692863-0.0000239240931189315i</v>
      </c>
      <c r="AM180" s="10" t="str">
        <f t="shared" si="42"/>
        <v>0.0634047985378117-0.190503666342917i</v>
      </c>
      <c r="AN180" s="10" t="str">
        <f t="shared" si="47"/>
        <v>-0.183891816957576+0.559085387292695i</v>
      </c>
      <c r="AO180" s="10">
        <f t="shared" si="48"/>
        <v>0.58855133219472144</v>
      </c>
      <c r="AP180" s="10">
        <f t="shared" si="49"/>
        <v>1.8885655227224527</v>
      </c>
      <c r="AQ180" s="10">
        <f t="shared" si="50"/>
        <v>108.20683378591471</v>
      </c>
      <c r="AR180" s="10">
        <f t="shared" si="51"/>
        <v>-4.6043130585622762</v>
      </c>
      <c r="AS180" s="10">
        <f t="shared" si="52"/>
        <v>-16.259199025391005</v>
      </c>
      <c r="AT180" s="10">
        <f t="shared" si="53"/>
        <v>-5.2405943223056539</v>
      </c>
    </row>
    <row r="181" spans="25:46" x14ac:dyDescent="0.25">
      <c r="Y181" s="10">
        <v>179</v>
      </c>
      <c r="Z181" s="10">
        <f t="shared" si="43"/>
        <v>234422.88153199226</v>
      </c>
      <c r="AA181" s="10" t="str">
        <f t="shared" si="44"/>
        <v>1472922.40490851i</v>
      </c>
      <c r="AB181" s="10">
        <f>$T$6/'5. Current Sense Resistor'!$B$11</f>
        <v>100</v>
      </c>
      <c r="AD181" s="10" t="str">
        <f t="shared" si="39"/>
        <v>0.00413920907724832-0.000279851653744861i</v>
      </c>
      <c r="AE181" s="10" t="str">
        <f t="shared" si="40"/>
        <v>-1.51080525169491-3.52183805787075i</v>
      </c>
      <c r="AF181" s="10" t="str">
        <f t="shared" si="45"/>
        <v>-0.126558234553964-0.247461935481887i</v>
      </c>
      <c r="AG181" s="10">
        <f t="shared" si="46"/>
        <v>0.27794675073808256</v>
      </c>
      <c r="AH181" s="10">
        <f t="shared" si="36"/>
        <v>-2.0435421504542433</v>
      </c>
      <c r="AI181" s="10">
        <f t="shared" si="37"/>
        <v>-117.08634047811643</v>
      </c>
      <c r="AJ181" s="10">
        <f t="shared" si="38"/>
        <v>-11.120767971977337</v>
      </c>
      <c r="AL181" s="10" t="str">
        <f t="shared" si="41"/>
        <v>0.0067854978625685-0.0000223272627975823i</v>
      </c>
      <c r="AM181" s="10" t="str">
        <f t="shared" si="42"/>
        <v>0.0585787315270609-0.178704469886511i</v>
      </c>
      <c r="AN181" s="10" t="str">
        <f t="shared" si="47"/>
        <v>-0.169990218391646+0.524407694909549i</v>
      </c>
      <c r="AO181" s="10">
        <f t="shared" si="48"/>
        <v>0.55127135317299603</v>
      </c>
      <c r="AP181" s="10">
        <f t="shared" si="49"/>
        <v>1.8842652155756736</v>
      </c>
      <c r="AQ181" s="10">
        <f t="shared" si="50"/>
        <v>107.96044433579434</v>
      </c>
      <c r="AR181" s="10">
        <f t="shared" si="51"/>
        <v>-5.1726915011180044</v>
      </c>
      <c r="AS181" s="10">
        <f t="shared" si="52"/>
        <v>-16.293459473095339</v>
      </c>
      <c r="AT181" s="10">
        <f t="shared" si="53"/>
        <v>-9.125896142322091</v>
      </c>
    </row>
    <row r="182" spans="25:46" x14ac:dyDescent="0.25">
      <c r="Y182" s="10">
        <v>180</v>
      </c>
      <c r="Z182" s="10">
        <f t="shared" si="43"/>
        <v>251188.64315095753</v>
      </c>
      <c r="AA182" s="10" t="str">
        <f t="shared" si="44"/>
        <v>1578264.79197647i</v>
      </c>
      <c r="AB182" s="10">
        <f>$T$6/'5. Current Sense Resistor'!$B$11</f>
        <v>100</v>
      </c>
      <c r="AD182" s="10" t="str">
        <f t="shared" si="39"/>
        <v>0.00413919892950757-0.000261172762103871i</v>
      </c>
      <c r="AE182" s="10" t="str">
        <f t="shared" si="40"/>
        <v>-1.87097411093542-3.61876051121131i</v>
      </c>
      <c r="AF182" s="10" t="str">
        <f t="shared" si="45"/>
        <v>-0.151913561454996-0.253323813947068i</v>
      </c>
      <c r="AG182" s="10">
        <f t="shared" si="46"/>
        <v>0.29538226904577325</v>
      </c>
      <c r="AH182" s="10">
        <f t="shared" si="36"/>
        <v>-2.1109814773264821</v>
      </c>
      <c r="AI182" s="10">
        <f t="shared" si="37"/>
        <v>-120.9503292810989</v>
      </c>
      <c r="AJ182" s="10">
        <f t="shared" si="38"/>
        <v>-10.592311553988027</v>
      </c>
      <c r="AL182" s="10" t="str">
        <f t="shared" si="41"/>
        <v>0.00678549779780352-0.0000208370140322271i</v>
      </c>
      <c r="AM182" s="10" t="str">
        <f t="shared" si="42"/>
        <v>0.0543346973350203-0.167528563500524i</v>
      </c>
      <c r="AN182" s="10" t="str">
        <f t="shared" si="47"/>
        <v>-0.157765179203701+0.491571448510809i</v>
      </c>
      <c r="AO182" s="10">
        <f t="shared" si="48"/>
        <v>0.5162677026119209</v>
      </c>
      <c r="AP182" s="10">
        <f t="shared" si="49"/>
        <v>1.8813521634873887</v>
      </c>
      <c r="AQ182" s="10">
        <f t="shared" si="50"/>
        <v>107.79353874563382</v>
      </c>
      <c r="AR182" s="10">
        <f t="shared" si="51"/>
        <v>-5.7425008659414836</v>
      </c>
      <c r="AS182" s="10">
        <f t="shared" si="52"/>
        <v>-16.334812419929513</v>
      </c>
      <c r="AT182" s="10">
        <f t="shared" si="53"/>
        <v>-13.156790535465078</v>
      </c>
    </row>
    <row r="183" spans="25:46" x14ac:dyDescent="0.25">
      <c r="Y183" s="10">
        <v>181</v>
      </c>
      <c r="Z183" s="10">
        <f t="shared" si="43"/>
        <v>269153.48039269098</v>
      </c>
      <c r="AA183" s="10" t="str">
        <f t="shared" si="44"/>
        <v>1691141.1933796i</v>
      </c>
      <c r="AB183" s="10">
        <f>$T$6/'5. Current Sense Resistor'!$B$11</f>
        <v>100</v>
      </c>
      <c r="AD183" s="10" t="str">
        <f t="shared" si="39"/>
        <v>0.00413919009119468-0.000243740605647677i</v>
      </c>
      <c r="AE183" s="10" t="str">
        <f t="shared" si="40"/>
        <v>-2.27246700551178-3.68019210791217i</v>
      </c>
      <c r="AF183" s="10" t="str">
        <f t="shared" si="45"/>
        <v>-0.180125614773838-0.256628010883306i</v>
      </c>
      <c r="AG183" s="10">
        <f t="shared" si="46"/>
        <v>0.31353336834789264</v>
      </c>
      <c r="AH183" s="10">
        <f t="shared" si="36"/>
        <v>-2.1827921805248001</v>
      </c>
      <c r="AI183" s="10">
        <f t="shared" si="37"/>
        <v>-125.06477949822914</v>
      </c>
      <c r="AJ183" s="10">
        <f t="shared" si="38"/>
        <v>-10.074324636175298</v>
      </c>
      <c r="AL183" s="10" t="str">
        <f t="shared" si="41"/>
        <v>0.0067854977413956-0.0000194462329624476i</v>
      </c>
      <c r="AM183" s="10" t="str">
        <f t="shared" si="42"/>
        <v>0.0506069978404754-0.156963052587607i</v>
      </c>
      <c r="AN183" s="10" t="str">
        <f t="shared" si="47"/>
        <v>-0.147027454325961+0.46053643145125i</v>
      </c>
      <c r="AO183" s="10">
        <f t="shared" si="48"/>
        <v>0.48343652842893908</v>
      </c>
      <c r="AP183" s="10">
        <f t="shared" si="49"/>
        <v>1.8798211513404297</v>
      </c>
      <c r="AQ183" s="10">
        <f t="shared" si="50"/>
        <v>107.70581821122981</v>
      </c>
      <c r="AR183" s="10">
        <f t="shared" si="51"/>
        <v>-6.3132107485814029</v>
      </c>
      <c r="AS183" s="10">
        <f t="shared" si="52"/>
        <v>-16.387535384756703</v>
      </c>
      <c r="AT183" s="10">
        <f t="shared" si="53"/>
        <v>-17.358961286999332</v>
      </c>
    </row>
    <row r="184" spans="25:46" x14ac:dyDescent="0.25">
      <c r="Y184" s="10">
        <v>182</v>
      </c>
      <c r="Z184" s="10">
        <f t="shared" si="43"/>
        <v>288403.15031266044</v>
      </c>
      <c r="AA184" s="10" t="str">
        <f t="shared" si="44"/>
        <v>1812090.43658881i</v>
      </c>
      <c r="AB184" s="10">
        <f>$T$6/'5. Current Sense Resistor'!$B$11</f>
        <v>100</v>
      </c>
      <c r="AD184" s="10" t="str">
        <f t="shared" si="39"/>
        <v>0.00413918239334584-0.000227471970257881i</v>
      </c>
      <c r="AE184" s="10" t="str">
        <f t="shared" si="40"/>
        <v>-2.71400890983496-3.69350218638254i</v>
      </c>
      <c r="AF184" s="10" t="str">
        <f t="shared" si="45"/>
        <v>-0.211082974029036-0.256481088560164i</v>
      </c>
      <c r="AG184" s="10">
        <f t="shared" si="46"/>
        <v>0.33217250144156935</v>
      </c>
      <c r="AH184" s="10">
        <f t="shared" si="36"/>
        <v>-2.2594029333037362</v>
      </c>
      <c r="AI184" s="10">
        <f t="shared" si="37"/>
        <v>-129.45425229778232</v>
      </c>
      <c r="AJ184" s="10">
        <f t="shared" si="38"/>
        <v>-9.572726460359295</v>
      </c>
      <c r="AL184" s="10" t="str">
        <f t="shared" si="41"/>
        <v>0.00678549769226634-0.0000181482805474021i</v>
      </c>
      <c r="AM184" s="10" t="str">
        <f t="shared" si="42"/>
        <v>0.0473362801004771-0.146991098772696i</v>
      </c>
      <c r="AN184" s="10" t="str">
        <f t="shared" si="47"/>
        <v>-0.137606076151385+0.431251272113971i</v>
      </c>
      <c r="AO184" s="10">
        <f t="shared" si="48"/>
        <v>0.45267327278479685</v>
      </c>
      <c r="AP184" s="10">
        <f t="shared" si="49"/>
        <v>1.8796695993405586</v>
      </c>
      <c r="AQ184" s="10">
        <f t="shared" si="50"/>
        <v>107.69713492126043</v>
      </c>
      <c r="AR184" s="10">
        <f t="shared" si="51"/>
        <v>-6.8843029364586936</v>
      </c>
      <c r="AS184" s="10">
        <f t="shared" si="52"/>
        <v>-16.457029396817987</v>
      </c>
      <c r="AT184" s="10">
        <f t="shared" si="53"/>
        <v>-21.75711737652189</v>
      </c>
    </row>
    <row r="185" spans="25:46" x14ac:dyDescent="0.25">
      <c r="Y185" s="10">
        <v>183</v>
      </c>
      <c r="Z185" s="10">
        <f t="shared" si="43"/>
        <v>309029.54325135821</v>
      </c>
      <c r="AA185" s="10" t="str">
        <f t="shared" si="44"/>
        <v>1941689.88564135i</v>
      </c>
      <c r="AB185" s="10">
        <f>$T$6/'5. Current Sense Resistor'!$B$11</f>
        <v>100</v>
      </c>
      <c r="AD185" s="10" t="str">
        <f t="shared" si="39"/>
        <v>0.00413917568879967-0.000212289195983151i</v>
      </c>
      <c r="AE185" s="10" t="str">
        <f t="shared" si="40"/>
        <v>-3.1907509551599-3.64421583626156i</v>
      </c>
      <c r="AF185" s="10" t="str">
        <f t="shared" si="45"/>
        <v>-0.244417944623798-0.251865168519917i</v>
      </c>
      <c r="AG185" s="10">
        <f t="shared" si="46"/>
        <v>0.35096466313247004</v>
      </c>
      <c r="AH185" s="10">
        <f t="shared" ref="AH185:AH202" si="54">IMARGUMENT(AF185)</f>
        <v>-2.3411896173974198</v>
      </c>
      <c r="AI185" s="10">
        <f t="shared" ref="AI185:AI202" si="55">AH185/(PI())*180</f>
        <v>-134.14028411672012</v>
      </c>
      <c r="AJ185" s="10">
        <f t="shared" ref="AJ185:AJ202" si="56">20*LOG(AG185,10)</f>
        <v>-9.0947321652212061</v>
      </c>
      <c r="AL185" s="10" t="str">
        <f t="shared" si="41"/>
        <v>0.00678549764947655-0.0000169369608736631i</v>
      </c>
      <c r="AM185" s="10" t="str">
        <f t="shared" si="42"/>
        <v>0.0444691873910946-0.13759292592353i</v>
      </c>
      <c r="AN185" s="10" t="str">
        <f t="shared" si="47"/>
        <v>-0.129347349341851+0.403656328076677i</v>
      </c>
      <c r="AO185" s="10">
        <f t="shared" si="48"/>
        <v>0.42387400012044707</v>
      </c>
      <c r="AP185" s="10">
        <f t="shared" si="49"/>
        <v>1.8808977105060996</v>
      </c>
      <c r="AQ185" s="10">
        <f t="shared" si="50"/>
        <v>107.76750050781882</v>
      </c>
      <c r="AR185" s="10">
        <f t="shared" si="51"/>
        <v>-7.4552644334630882</v>
      </c>
      <c r="AS185" s="10">
        <f t="shared" si="52"/>
        <v>-16.549996598684295</v>
      </c>
      <c r="AT185" s="10">
        <f t="shared" si="53"/>
        <v>-26.372783608901301</v>
      </c>
    </row>
    <row r="186" spans="25:46" x14ac:dyDescent="0.25">
      <c r="Y186" s="10">
        <v>184</v>
      </c>
      <c r="Z186" s="10">
        <f t="shared" si="43"/>
        <v>331131.12148259068</v>
      </c>
      <c r="AA186" s="10" t="str">
        <f t="shared" si="44"/>
        <v>2080558.19724931i</v>
      </c>
      <c r="AB186" s="10">
        <f>$T$6/'5. Current Sense Resistor'!$B$11</f>
        <v>100</v>
      </c>
      <c r="AD186" s="10" t="str">
        <f t="shared" si="39"/>
        <v>0.004139169849384-0.000198119806325723i</v>
      </c>
      <c r="AE186" s="10" t="str">
        <f t="shared" si="40"/>
        <v>-3.69287536434274-3.51692756251133i</v>
      </c>
      <c r="AF186" s="10" t="str">
        <f t="shared" si="45"/>
        <v>-0.279409289740678-0.241705048553249i</v>
      </c>
      <c r="AG186" s="10">
        <f t="shared" si="46"/>
        <v>0.36944672374987791</v>
      </c>
      <c r="AH186" s="10">
        <f t="shared" si="54"/>
        <v>-2.4284217362289073</v>
      </c>
      <c r="AI186" s="10">
        <f t="shared" si="55"/>
        <v>-139.13831636374803</v>
      </c>
      <c r="AJ186" s="10">
        <f t="shared" si="56"/>
        <v>-8.6489636081515862</v>
      </c>
      <c r="AL186" s="10" t="str">
        <f t="shared" si="41"/>
        <v>0.00678549761220819-0.0000158064915783695i</v>
      </c>
      <c r="AM186" s="10" t="str">
        <f t="shared" si="42"/>
        <v>0.0419579563065428-0.128746662144003i</v>
      </c>
      <c r="AN186" s="10" t="str">
        <f t="shared" si="47"/>
        <v>-0.122113690257712+0.377686098708874i</v>
      </c>
      <c r="AO186" s="10">
        <f t="shared" si="48"/>
        <v>0.39693644643227932</v>
      </c>
      <c r="AP186" s="10">
        <f t="shared" si="49"/>
        <v>1.8835085030860752</v>
      </c>
      <c r="AQ186" s="10">
        <f t="shared" si="50"/>
        <v>107.91708790383551</v>
      </c>
      <c r="AR186" s="10">
        <f t="shared" si="51"/>
        <v>-8.0255804528105514</v>
      </c>
      <c r="AS186" s="10">
        <f t="shared" si="52"/>
        <v>-16.674544060962138</v>
      </c>
      <c r="AT186" s="10">
        <f t="shared" si="53"/>
        <v>-31.221228459912524</v>
      </c>
    </row>
    <row r="187" spans="25:46" x14ac:dyDescent="0.25">
      <c r="Y187" s="10">
        <v>185</v>
      </c>
      <c r="Z187" s="10">
        <f t="shared" si="43"/>
        <v>354813.38923357491</v>
      </c>
      <c r="AA187" s="10" t="str">
        <f t="shared" si="44"/>
        <v>2229358.27402299i</v>
      </c>
      <c r="AB187" s="10">
        <f>$T$6/'5. Current Sense Resistor'!$B$11</f>
        <v>100</v>
      </c>
      <c r="AD187" s="10" t="str">
        <f t="shared" si="39"/>
        <v>0.00413916476346551-0.000184896162270823i</v>
      </c>
      <c r="AE187" s="10" t="str">
        <f t="shared" si="40"/>
        <v>-4.2043177980942-3.2970717862055i</v>
      </c>
      <c r="AF187" s="10" t="str">
        <f t="shared" si="45"/>
        <v>-0.314894755319637-0.224995824025237i</v>
      </c>
      <c r="AG187" s="10">
        <f t="shared" si="46"/>
        <v>0.38701657297409048</v>
      </c>
      <c r="AH187" s="10">
        <f t="shared" si="54"/>
        <v>-2.5211938869256723</v>
      </c>
      <c r="AI187" s="10">
        <f t="shared" si="55"/>
        <v>-144.45376905502431</v>
      </c>
      <c r="AJ187" s="10">
        <f t="shared" si="56"/>
        <v>-8.2454087411160408</v>
      </c>
      <c r="AL187" s="10" t="str">
        <f t="shared" si="41"/>
        <v>0.00678549757974881-0.0000147514762465068i</v>
      </c>
      <c r="AM187" s="10" t="str">
        <f t="shared" si="42"/>
        <v>0.0397599861989762-0.120429035803585i</v>
      </c>
      <c r="AN187" s="10" t="str">
        <f t="shared" si="47"/>
        <v>-0.115782386715196+0.353271218170472i</v>
      </c>
      <c r="AO187" s="10">
        <f t="shared" si="48"/>
        <v>0.37176082991772608</v>
      </c>
      <c r="AP187" s="10">
        <f t="shared" si="49"/>
        <v>1.8875077285628012</v>
      </c>
      <c r="AQ187" s="10">
        <f t="shared" si="50"/>
        <v>108.1462266449731</v>
      </c>
      <c r="AR187" s="10">
        <f t="shared" si="51"/>
        <v>-8.5947274202089705</v>
      </c>
      <c r="AS187" s="10">
        <f t="shared" si="52"/>
        <v>-16.840136161325013</v>
      </c>
      <c r="AT187" s="10">
        <f t="shared" si="53"/>
        <v>-36.307542410051212</v>
      </c>
    </row>
    <row r="188" spans="25:46" x14ac:dyDescent="0.25">
      <c r="Y188" s="10">
        <v>186</v>
      </c>
      <c r="Z188" s="10">
        <f t="shared" si="43"/>
        <v>380189.39632056118</v>
      </c>
      <c r="AA188" s="10" t="str">
        <f t="shared" si="44"/>
        <v>2388800.42890683i</v>
      </c>
      <c r="AB188" s="10">
        <f>$T$6/'5. Current Sense Resistor'!$B$11</f>
        <v>100</v>
      </c>
      <c r="AD188" s="10" t="str">
        <f t="shared" si="39"/>
        <v>0.00413916033381563-0.000172555139407639i</v>
      </c>
      <c r="AE188" s="10" t="str">
        <f t="shared" si="40"/>
        <v>-4.70213539786575-2.97367223389995i</v>
      </c>
      <c r="AF188" s="10" t="str">
        <f t="shared" si="45"/>
        <v>-0.34923102709702-0.200998750476141i</v>
      </c>
      <c r="AG188" s="10">
        <f t="shared" si="46"/>
        <v>0.40294268572615821</v>
      </c>
      <c r="AH188" s="10">
        <f t="shared" si="54"/>
        <v>-2.6193476429143572</v>
      </c>
      <c r="AI188" s="10">
        <f t="shared" si="55"/>
        <v>-150.0775650165329</v>
      </c>
      <c r="AJ188" s="10">
        <f t="shared" si="56"/>
        <v>-7.8951344639290806</v>
      </c>
      <c r="AL188" s="10" t="str">
        <f t="shared" si="41"/>
        <v>0.00678549755147787-0.000013766878650549i</v>
      </c>
      <c r="AM188" s="10" t="str">
        <f t="shared" si="42"/>
        <v>0.0378374006020806-0.112615943881271i</v>
      </c>
      <c r="AN188" s="10" t="str">
        <f t="shared" si="47"/>
        <v>-0.110244334653867+0.330340081406231i</v>
      </c>
      <c r="AO188" s="10">
        <f t="shared" si="48"/>
        <v>0.34825045973659413</v>
      </c>
      <c r="AP188" s="10">
        <f t="shared" si="49"/>
        <v>1.8929036733250868</v>
      </c>
      <c r="AQ188" s="10">
        <f t="shared" si="50"/>
        <v>108.45539150633779</v>
      </c>
      <c r="AR188" s="10">
        <f t="shared" si="51"/>
        <v>-9.1621660315510951</v>
      </c>
      <c r="AS188" s="10">
        <f t="shared" si="52"/>
        <v>-17.057300495480177</v>
      </c>
      <c r="AT188" s="10">
        <f t="shared" si="53"/>
        <v>-41.622173510195111</v>
      </c>
    </row>
    <row r="189" spans="25:46" x14ac:dyDescent="0.25">
      <c r="Y189" s="10">
        <v>187</v>
      </c>
      <c r="Z189" s="10">
        <f t="shared" si="43"/>
        <v>407380.27780411189</v>
      </c>
      <c r="AA189" s="10" t="str">
        <f t="shared" si="44"/>
        <v>2559645.77593353i</v>
      </c>
      <c r="AB189" s="10">
        <f>$T$6/'5. Current Sense Resistor'!$B$11</f>
        <v>100</v>
      </c>
      <c r="AD189" s="10" t="str">
        <f t="shared" si="39"/>
        <v>0.00413915647575185-0.000161037826600681i</v>
      </c>
      <c r="AE189" s="10" t="str">
        <f t="shared" si="40"/>
        <v>-5.15724199998606-2.54284206508586i</v>
      </c>
      <c r="AF189" s="10" t="str">
        <f t="shared" si="45"/>
        <v>-0.380351842321887-0.169487939817882i</v>
      </c>
      <c r="AG189" s="10">
        <f t="shared" si="46"/>
        <v>0.41640567443463544</v>
      </c>
      <c r="AH189" s="10">
        <f t="shared" si="54"/>
        <v>-2.7223968602561412</v>
      </c>
      <c r="AI189" s="10">
        <f t="shared" si="55"/>
        <v>-155.98185025234346</v>
      </c>
      <c r="AJ189" s="10">
        <f t="shared" si="56"/>
        <v>-7.6096672182512215</v>
      </c>
      <c r="AL189" s="10" t="str">
        <f t="shared" si="41"/>
        <v>0.00678549752685492-0.0000128479987094937i</v>
      </c>
      <c r="AM189" s="10" t="str">
        <f t="shared" si="42"/>
        <v>0.0361566148563817-0.105282910198523i</v>
      </c>
      <c r="AN189" s="10" t="str">
        <f t="shared" si="47"/>
        <v>-0.105402792669003+0.308820153706494i</v>
      </c>
      <c r="AO189" s="10">
        <f t="shared" si="48"/>
        <v>0.32631217574238236</v>
      </c>
      <c r="AP189" s="10">
        <f t="shared" si="49"/>
        <v>1.8997068396652079</v>
      </c>
      <c r="AQ189" s="10">
        <f t="shared" si="50"/>
        <v>108.84518422495219</v>
      </c>
      <c r="AR189" s="10">
        <f t="shared" si="51"/>
        <v>-9.7273344201005987</v>
      </c>
      <c r="AS189" s="10">
        <f t="shared" si="52"/>
        <v>-17.337001638351822</v>
      </c>
      <c r="AT189" s="10">
        <f t="shared" si="53"/>
        <v>-47.136666027391271</v>
      </c>
    </row>
    <row r="190" spans="25:46" x14ac:dyDescent="0.25">
      <c r="Y190" s="10">
        <v>188</v>
      </c>
      <c r="Z190" s="10">
        <f t="shared" si="43"/>
        <v>436515.83224016492</v>
      </c>
      <c r="AA190" s="10" t="str">
        <f t="shared" si="44"/>
        <v>2742709.86348267i</v>
      </c>
      <c r="AB190" s="10">
        <f>$T$6/'5. Current Sense Resistor'!$B$11</f>
        <v>100</v>
      </c>
      <c r="AD190" s="10" t="str">
        <f t="shared" si="39"/>
        <v>0.00413915311551874-0.000150289244773192i</v>
      </c>
      <c r="AE190" s="10" t="str">
        <f t="shared" si="40"/>
        <v>-5.53716371735126-2.01124040485216i</v>
      </c>
      <c r="AF190" s="10" t="str">
        <f t="shared" si="45"/>
        <v>-0.405969165267734-0.13099048661774i</v>
      </c>
      <c r="AG190" s="10">
        <f t="shared" si="46"/>
        <v>0.42657879780004665</v>
      </c>
      <c r="AH190" s="10">
        <f t="shared" si="54"/>
        <v>-2.8294775967130263</v>
      </c>
      <c r="AI190" s="10">
        <f t="shared" si="55"/>
        <v>-162.11712451847563</v>
      </c>
      <c r="AJ190" s="10">
        <f t="shared" si="56"/>
        <v>-7.4000146808387965</v>
      </c>
      <c r="AL190" s="10" t="str">
        <f t="shared" si="41"/>
        <v>0.00678549750540922-0.0000119904500525281i</v>
      </c>
      <c r="AM190" s="10" t="str">
        <f t="shared" si="42"/>
        <v>0.0346879198234168-0.0984054498524434i</v>
      </c>
      <c r="AN190" s="10" t="str">
        <f t="shared" si="47"/>
        <v>-0.101172182888856+0.288639010769398i</v>
      </c>
      <c r="AO190" s="10">
        <f t="shared" si="48"/>
        <v>0.30585664800431067</v>
      </c>
      <c r="AP190" s="10">
        <f t="shared" si="49"/>
        <v>1.907929499650447</v>
      </c>
      <c r="AQ190" s="10">
        <f t="shared" si="50"/>
        <v>109.31630793847748</v>
      </c>
      <c r="AR190" s="10">
        <f t="shared" si="51"/>
        <v>-10.289641507494899</v>
      </c>
      <c r="AS190" s="10">
        <f t="shared" si="52"/>
        <v>-17.689656188333696</v>
      </c>
      <c r="AT190" s="10">
        <f t="shared" si="53"/>
        <v>-52.800816579998155</v>
      </c>
    </row>
    <row r="191" spans="25:46" x14ac:dyDescent="0.25">
      <c r="Y191" s="10">
        <v>189</v>
      </c>
      <c r="Z191" s="10">
        <f t="shared" si="43"/>
        <v>467735.14128719777</v>
      </c>
      <c r="AA191" s="10" t="str">
        <f t="shared" si="44"/>
        <v>2938866.56738729i</v>
      </c>
      <c r="AB191" s="10">
        <f>$T$6/'5. Current Sense Resistor'!$B$11</f>
        <v>100</v>
      </c>
      <c r="AD191" s="10" t="str">
        <f t="shared" si="39"/>
        <v>0.00413915018887803-0.000140258084460303i</v>
      </c>
      <c r="AE191" s="10" t="str">
        <f t="shared" si="40"/>
        <v>-5.81091000719025-1.39813833313361i</v>
      </c>
      <c r="AF191" s="10" t="str">
        <f t="shared" si="45"/>
        <v>-0.42392184367536-0.0869244307532847i</v>
      </c>
      <c r="AG191" s="10">
        <f t="shared" si="46"/>
        <v>0.43274193950540424</v>
      </c>
      <c r="AH191" s="10">
        <f t="shared" si="54"/>
        <v>-2.9393477563102639</v>
      </c>
      <c r="AI191" s="10">
        <f t="shared" si="55"/>
        <v>-168.41222095782612</v>
      </c>
      <c r="AJ191" s="10">
        <f t="shared" si="56"/>
        <v>-7.2754202558070711</v>
      </c>
      <c r="AL191" s="10" t="str">
        <f t="shared" si="41"/>
        <v>0.00678549748673079-0.0000111901390802238i</v>
      </c>
      <c r="AM191" s="10" t="str">
        <f t="shared" si="42"/>
        <v>0.0334050881930946-0.0919593545995457i</v>
      </c>
      <c r="AN191" s="10" t="str">
        <f t="shared" si="47"/>
        <v>-0.097476956932565+0.269725151706971i</v>
      </c>
      <c r="AO191" s="10">
        <f t="shared" si="48"/>
        <v>0.28679856100786433</v>
      </c>
      <c r="AP191" s="10">
        <f t="shared" si="49"/>
        <v>1.9175851138737201</v>
      </c>
      <c r="AQ191" s="10">
        <f t="shared" si="50"/>
        <v>109.86953388207752</v>
      </c>
      <c r="AR191" s="10">
        <f t="shared" si="51"/>
        <v>-10.848460640831739</v>
      </c>
      <c r="AS191" s="10">
        <f t="shared" si="52"/>
        <v>-18.123880896638809</v>
      </c>
      <c r="AT191" s="10">
        <f t="shared" si="53"/>
        <v>-58.542687075748603</v>
      </c>
    </row>
    <row r="192" spans="25:46" x14ac:dyDescent="0.25">
      <c r="Y192" s="10">
        <v>190</v>
      </c>
      <c r="Z192" s="10">
        <f t="shared" si="43"/>
        <v>501187.23362727172</v>
      </c>
      <c r="AA192" s="10" t="str">
        <f t="shared" si="44"/>
        <v>3149052.26247286i</v>
      </c>
      <c r="AB192" s="10">
        <f>$T$6/'5. Current Sense Resistor'!$B$11</f>
        <v>100</v>
      </c>
      <c r="AD192" s="10" t="str">
        <f t="shared" si="39"/>
        <v>0.00413914763988052-0.000130896460879167i</v>
      </c>
      <c r="AE192" s="10" t="str">
        <f t="shared" si="40"/>
        <v>-5.95502201864206-0.734677894040354i</v>
      </c>
      <c r="AF192" s="10" t="str">
        <f t="shared" si="45"/>
        <v>-0.432602833393616-0.0395358210575483i</v>
      </c>
      <c r="AG192" s="10">
        <f t="shared" si="46"/>
        <v>0.43440567745700465</v>
      </c>
      <c r="AH192" s="10">
        <f t="shared" si="54"/>
        <v>-3.05045525110648</v>
      </c>
      <c r="AI192" s="10">
        <f t="shared" si="55"/>
        <v>-174.77821148192106</v>
      </c>
      <c r="AJ192" s="10">
        <f t="shared" si="56"/>
        <v>-7.2420901475676294</v>
      </c>
      <c r="AL192" s="10" t="str">
        <f t="shared" si="41"/>
        <v>0.00678549747046257-0.0000104432454233064i</v>
      </c>
      <c r="AM192" s="10" t="str">
        <f t="shared" si="42"/>
        <v>0.0322850073019965-0.085920912264998i</v>
      </c>
      <c r="AN192" s="10" t="str">
        <f t="shared" si="47"/>
        <v>-0.0942505382337631+0.252008622614331i</v>
      </c>
      <c r="AO192" s="10">
        <f t="shared" si="48"/>
        <v>0.26905670374351637</v>
      </c>
      <c r="AP192" s="10">
        <f t="shared" si="49"/>
        <v>1.9286876063658929</v>
      </c>
      <c r="AQ192" s="10">
        <f t="shared" si="50"/>
        <v>110.50565984395472</v>
      </c>
      <c r="AR192" s="10">
        <f t="shared" si="51"/>
        <v>-11.403123654394188</v>
      </c>
      <c r="AS192" s="10">
        <f t="shared" si="52"/>
        <v>-18.645213801961816</v>
      </c>
      <c r="AT192" s="10">
        <f t="shared" si="53"/>
        <v>-64.272551637966345</v>
      </c>
    </row>
    <row r="193" spans="25:46" x14ac:dyDescent="0.25">
      <c r="Y193" s="10">
        <v>191</v>
      </c>
      <c r="Z193" s="10">
        <f t="shared" si="43"/>
        <v>537031.79637025192</v>
      </c>
      <c r="AA193" s="10" t="str">
        <f t="shared" si="44"/>
        <v>3374270.29244183i</v>
      </c>
      <c r="AB193" s="10">
        <f>$T$6/'5. Current Sense Resistor'!$B$11</f>
        <v>100</v>
      </c>
      <c r="AD193" s="10" t="str">
        <f t="shared" si="39"/>
        <v>0.00413914541979649-0.00012215968534692i</v>
      </c>
      <c r="AE193" s="10" t="str">
        <f t="shared" si="40"/>
        <v>-5.95885489439265-0.0597270576205251i</v>
      </c>
      <c r="AF193" s="10" t="str">
        <f t="shared" si="45"/>
        <v>-0.431326279404246+0.00840407101292033i</v>
      </c>
      <c r="AG193" s="10">
        <f t="shared" si="46"/>
        <v>0.43140814516452963</v>
      </c>
      <c r="AH193" s="10">
        <f t="shared" si="54"/>
        <v>3.1221108641420243</v>
      </c>
      <c r="AI193" s="10">
        <f t="shared" si="55"/>
        <v>178.88377568728035</v>
      </c>
      <c r="AJ193" s="10">
        <f t="shared" si="56"/>
        <v>-7.3022331899260617</v>
      </c>
      <c r="AL193" s="10" t="str">
        <f t="shared" si="41"/>
        <v>0.00678549745629352-9.74620370571816E-06i</v>
      </c>
      <c r="AM193" s="10" t="str">
        <f t="shared" si="42"/>
        <v>0.03130734044627-0.0802670715842865i</v>
      </c>
      <c r="AN193" s="10" t="str">
        <f t="shared" si="47"/>
        <v>-0.091434346443774+0.235421483519569i</v>
      </c>
      <c r="AO193" s="10">
        <f t="shared" si="48"/>
        <v>0.25255398356025749</v>
      </c>
      <c r="AP193" s="10">
        <f t="shared" si="49"/>
        <v>1.9412504873775622</v>
      </c>
      <c r="AQ193" s="10">
        <f t="shared" si="50"/>
        <v>111.2254599044484</v>
      </c>
      <c r="AR193" s="10">
        <f t="shared" si="51"/>
        <v>-11.952915538511226</v>
      </c>
      <c r="AS193" s="10">
        <f t="shared" si="52"/>
        <v>-19.255148728437288</v>
      </c>
      <c r="AT193" s="10">
        <f t="shared" si="53"/>
        <v>290.10923559172875</v>
      </c>
    </row>
    <row r="194" spans="25:46" x14ac:dyDescent="0.25">
      <c r="Y194" s="10">
        <v>192</v>
      </c>
      <c r="Z194" s="10">
        <f t="shared" si="43"/>
        <v>575439.93733715592</v>
      </c>
      <c r="AA194" s="10" t="str">
        <f t="shared" si="44"/>
        <v>3615595.75944116i</v>
      </c>
      <c r="AB194" s="10">
        <f>$T$6/'5. Current Sense Resistor'!$B$11</f>
        <v>100</v>
      </c>
      <c r="AD194" s="10" t="str">
        <f t="shared" ref="AD194:AD202" si="57">IMDIV(IMSUM(1,IMDIV(AA194,$W$3)),IMSUM(1,IMDIV(AA194,$W$5)))</f>
        <v>0.00413914348618412-0.00011400605195538i</v>
      </c>
      <c r="AE194" s="10" t="str">
        <f t="shared" ref="AE194:AE202" si="58">IMDIV(IMSUM(1,IMDIV(IMPRODUCT(-1,AA194),$W$4)),IMSUM(1,IMDIV(AA194,$W$1*$W$2),IMDIV(IMPOWER(AA194,2),$W$1^2)))</f>
        <v>-5.82698969308266+0.586744398401434i</v>
      </c>
      <c r="AF194" s="10" t="str">
        <f t="shared" si="45"/>
        <v>-0.420486958388399+0.0540722263005483i</v>
      </c>
      <c r="AG194" s="10">
        <f t="shared" si="46"/>
        <v>0.42394939300796852</v>
      </c>
      <c r="AH194" s="10">
        <f t="shared" si="54"/>
        <v>3.0137002350646389</v>
      </c>
      <c r="AI194" s="10">
        <f t="shared" si="55"/>
        <v>172.67230418678793</v>
      </c>
      <c r="AJ194" s="10">
        <f t="shared" si="56"/>
        <v>-7.4537196440469433</v>
      </c>
      <c r="AL194" s="10" t="str">
        <f t="shared" ref="AL194:AL202" si="59">IMDIV(IMSUM(1,IMDIV(AA194,wz1e)),IMSUM(1,IMDIV(AA194,wp1e)))</f>
        <v>0.00678549744395282-9.09568652491809E-06i</v>
      </c>
      <c r="AM194" s="10" t="str">
        <f t="shared" ref="AM194:AM202" si="60">IMDIV(IMSUM(1,IMDIV(AA194,wz2e)),IMSUM(1,IMDIV(AA194,wp2e)))</f>
        <v>0.030454217262187-0.074975562300685i</v>
      </c>
      <c r="AN194" s="10" t="str">
        <f t="shared" si="47"/>
        <v>-0.0889769055650849+0.219898146973162i</v>
      </c>
      <c r="AO194" s="10">
        <f t="shared" si="48"/>
        <v>0.23721737871869419</v>
      </c>
      <c r="AP194" s="10">
        <f t="shared" si="49"/>
        <v>1.9552858176842252</v>
      </c>
      <c r="AQ194" s="10">
        <f t="shared" si="50"/>
        <v>112.02962509509224</v>
      </c>
      <c r="AR194" s="10">
        <f t="shared" si="51"/>
        <v>-12.497069948216401</v>
      </c>
      <c r="AS194" s="10">
        <f t="shared" si="52"/>
        <v>-19.950789592263344</v>
      </c>
      <c r="AT194" s="10">
        <f t="shared" si="53"/>
        <v>284.70192928188015</v>
      </c>
    </row>
    <row r="195" spans="25:46" x14ac:dyDescent="0.25">
      <c r="Y195" s="10">
        <v>193</v>
      </c>
      <c r="Z195" s="10">
        <f t="shared" ref="Z195:Z202" si="61">10^(LOG($F$3/$F$2,10)*Y195/200)</f>
        <v>616595.00186148204</v>
      </c>
      <c r="AA195" s="10" t="str">
        <f t="shared" ref="AA195:AA202" si="62">IMPRODUCT(COMPLEX(0,1),2*PI()*Z195)</f>
        <v>3874180.65617643i</v>
      </c>
      <c r="AB195" s="10">
        <f>$T$6/'5. Current Sense Resistor'!$B$11</f>
        <v>100</v>
      </c>
      <c r="AD195" s="10" t="str">
        <f t="shared" si="57"/>
        <v>0.00413914180207814-0.000106396638484172i</v>
      </c>
      <c r="AE195" s="10" t="str">
        <f t="shared" si="58"/>
        <v>-5.5777577515127+1.17054529718711i</v>
      </c>
      <c r="AF195" s="10" t="str">
        <f t="shared" ref="AF195:AF202" si="63">IMPRODUCT(AB195,AC$2,AD195,AE195)</f>
        <v>-0.401443849411493+0.0950788049974324i</v>
      </c>
      <c r="AG195" s="10">
        <f t="shared" ref="AG195:AG202" si="64">IMABS(AF195)</f>
        <v>0.41254956476774673</v>
      </c>
      <c r="AH195" s="10">
        <f t="shared" si="54"/>
        <v>2.9090357151864388</v>
      </c>
      <c r="AI195" s="10">
        <f t="shared" si="55"/>
        <v>166.67546893300394</v>
      </c>
      <c r="AJ195" s="10">
        <f t="shared" si="56"/>
        <v>-7.6904773344265474</v>
      </c>
      <c r="AL195" s="10" t="str">
        <f t="shared" si="59"/>
        <v>0.00678549743320452-0.0000084885885681729i</v>
      </c>
      <c r="AM195" s="10" t="str">
        <f t="shared" si="60"/>
        <v>0.0297099527490546-0.0700249788867714i</v>
      </c>
      <c r="AN195" s="10" t="str">
        <f t="shared" ref="AN195:AN202" si="65">IMPRODUCT($AK$2,AL195,AM195)</f>
        <v>-0.0868330345899194+0.205375612346635i</v>
      </c>
      <c r="AO195" s="10">
        <f t="shared" ref="AO195:AO202" si="66">IMABS(AN195)</f>
        <v>0.22297784204456153</v>
      </c>
      <c r="AP195" s="10">
        <f t="shared" ref="AP195:AP202" si="67">IMARGUMENT(AN195)</f>
        <v>1.970803011948066</v>
      </c>
      <c r="AQ195" s="10">
        <f t="shared" ref="AQ195:AQ202" si="68">AP195/(PI())*180</f>
        <v>112.91869483629495</v>
      </c>
      <c r="AR195" s="10">
        <f t="shared" ref="AR195:AR202" si="69">20*LOG(AO195,10)</f>
        <v>-13.034765838220457</v>
      </c>
      <c r="AS195" s="10">
        <f t="shared" ref="AS195:AS202" si="70">AR195+AJ195</f>
        <v>-20.725243172647005</v>
      </c>
      <c r="AT195" s="10">
        <f t="shared" ref="AT195:AT202" si="71">AQ195+AI195</f>
        <v>279.59416376929892</v>
      </c>
    </row>
    <row r="196" spans="25:46" x14ac:dyDescent="0.25">
      <c r="Y196" s="10">
        <v>194</v>
      </c>
      <c r="Z196" s="10">
        <f t="shared" si="61"/>
        <v>660693.44800759444</v>
      </c>
      <c r="AA196" s="10" t="str">
        <f t="shared" si="62"/>
        <v>4151259.36507114i</v>
      </c>
      <c r="AB196" s="10">
        <f>$T$6/'5. Current Sense Resistor'!$B$11</f>
        <v>100</v>
      </c>
      <c r="AD196" s="10" t="str">
        <f t="shared" si="57"/>
        <v>0.00413914033528317-0.0000992951206019474i</v>
      </c>
      <c r="AE196" s="10" t="str">
        <f t="shared" si="58"/>
        <v>-5.23860595948984+1.66807200365503i</v>
      </c>
      <c r="AF196" s="10" t="str">
        <f t="shared" si="63"/>
        <v>-0.376183458335726+0.129799862290538i</v>
      </c>
      <c r="AG196" s="10">
        <f t="shared" si="64"/>
        <v>0.39794723089383283</v>
      </c>
      <c r="AH196" s="10">
        <f t="shared" si="54"/>
        <v>2.8093397428301459</v>
      </c>
      <c r="AI196" s="10">
        <f t="shared" si="55"/>
        <v>160.96331048253543</v>
      </c>
      <c r="AJ196" s="10">
        <f t="shared" si="56"/>
        <v>-8.0034902595821631</v>
      </c>
      <c r="AL196" s="10" t="str">
        <f t="shared" si="59"/>
        <v>0.00678549742384312-0.0000079220117890182i</v>
      </c>
      <c r="AM196" s="10" t="str">
        <f t="shared" si="60"/>
        <v>0.0290607938297481-0.0653948349527878i</v>
      </c>
      <c r="AN196" s="10" t="str">
        <f t="shared" si="65"/>
        <v>-0.0849631174616829+0.191793616152237i</v>
      </c>
      <c r="AO196" s="10">
        <f t="shared" si="66"/>
        <v>0.20977016595683798</v>
      </c>
      <c r="AP196" s="10">
        <f t="shared" si="67"/>
        <v>1.9878074848970841</v>
      </c>
      <c r="AQ196" s="10">
        <f t="shared" si="68"/>
        <v>113.89297936911805</v>
      </c>
      <c r="AR196" s="10">
        <f t="shared" si="69"/>
        <v>-13.565125564188211</v>
      </c>
      <c r="AS196" s="10">
        <f t="shared" si="70"/>
        <v>-21.568615823770372</v>
      </c>
      <c r="AT196" s="10">
        <f t="shared" si="71"/>
        <v>274.85628985165351</v>
      </c>
    </row>
    <row r="197" spans="25:46" x14ac:dyDescent="0.25">
      <c r="Y197" s="10">
        <v>195</v>
      </c>
      <c r="Z197" s="10">
        <f t="shared" si="61"/>
        <v>707945.78438413737</v>
      </c>
      <c r="AA197" s="10" t="str">
        <f t="shared" si="62"/>
        <v>4448154.55072214i</v>
      </c>
      <c r="AB197" s="10">
        <f>$T$6/'5. Current Sense Resistor'!$B$11</f>
        <v>100</v>
      </c>
      <c r="AD197" s="10" t="str">
        <f t="shared" si="57"/>
        <v>0.0041391390577581-0.0000926675984687996i</v>
      </c>
      <c r="AE197" s="10" t="str">
        <f t="shared" si="58"/>
        <v>-4.8402608219022+2.06787035125084i</v>
      </c>
      <c r="AF197" s="10" t="str">
        <f t="shared" si="63"/>
        <v>-0.346903637032806+0.157477942020465i</v>
      </c>
      <c r="AG197" s="10">
        <f t="shared" si="64"/>
        <v>0.38097432408180704</v>
      </c>
      <c r="AH197" s="10">
        <f t="shared" si="54"/>
        <v>2.7154562881674051</v>
      </c>
      <c r="AI197" s="10">
        <f t="shared" si="55"/>
        <v>155.58418476425257</v>
      </c>
      <c r="AJ197" s="10">
        <f t="shared" si="56"/>
        <v>-8.3820858557968307</v>
      </c>
      <c r="AL197" s="10" t="str">
        <f t="shared" si="59"/>
        <v>0.00678549741568968-7.39325157312637E-06i</v>
      </c>
      <c r="AM197" s="10" t="str">
        <f t="shared" si="60"/>
        <v>0.0284946919072149-0.0610655942546513i</v>
      </c>
      <c r="AN197" s="10" t="str">
        <f t="shared" si="65"/>
        <v>-0.0833324479184851+0.179094715385008i</v>
      </c>
      <c r="AO197" s="10">
        <f t="shared" si="66"/>
        <v>0.19753281741251011</v>
      </c>
      <c r="AP197" s="10">
        <f t="shared" si="67"/>
        <v>2.0062991530148055</v>
      </c>
      <c r="AQ197" s="10">
        <f t="shared" si="68"/>
        <v>114.9524739084201</v>
      </c>
      <c r="AR197" s="10">
        <f t="shared" si="69"/>
        <v>-14.087214837492274</v>
      </c>
      <c r="AS197" s="10">
        <f t="shared" si="70"/>
        <v>-22.469300693289107</v>
      </c>
      <c r="AT197" s="10">
        <f t="shared" si="71"/>
        <v>270.53665867267267</v>
      </c>
    </row>
    <row r="198" spans="25:46" x14ac:dyDescent="0.25">
      <c r="Y198" s="10">
        <v>196</v>
      </c>
      <c r="Z198" s="10">
        <f t="shared" si="61"/>
        <v>758577.57502918295</v>
      </c>
      <c r="AA198" s="10" t="str">
        <f t="shared" si="62"/>
        <v>4766283.47377928i</v>
      </c>
      <c r="AB198" s="10">
        <f>$T$6/'5. Current Sense Resistor'!$B$11</f>
        <v>100</v>
      </c>
      <c r="AD198" s="10" t="str">
        <f t="shared" si="57"/>
        <v>0.00413913794508033-0.0000864824349121636i</v>
      </c>
      <c r="AE198" s="10" t="str">
        <f t="shared" si="58"/>
        <v>-4.41167380826739+2.36929106241808i</v>
      </c>
      <c r="AF198" s="10" t="str">
        <f t="shared" si="63"/>
        <v>-0.315657769248655+0.178118091475027i</v>
      </c>
      <c r="AG198" s="10">
        <f t="shared" si="64"/>
        <v>0.36244431544410133</v>
      </c>
      <c r="AH198" s="10">
        <f t="shared" si="54"/>
        <v>2.6278551182103551</v>
      </c>
      <c r="AI198" s="10">
        <f t="shared" si="55"/>
        <v>150.56500744530538</v>
      </c>
      <c r="AJ198" s="10">
        <f t="shared" si="56"/>
        <v>-8.8151741461625726</v>
      </c>
      <c r="AL198" s="10" t="str">
        <f t="shared" si="59"/>
        <v>0.00678549740858836-6.89978382754366E-06i</v>
      </c>
      <c r="AM198" s="10" t="str">
        <f t="shared" si="60"/>
        <v>0.0280010996195034-0.0570186832159247i</v>
      </c>
      <c r="AN198" s="10" t="str">
        <f t="shared" si="65"/>
        <v>-0.0819106440411357+0.167224318014421i</v>
      </c>
      <c r="AO198" s="10">
        <f t="shared" si="66"/>
        <v>0.18620774995316883</v>
      </c>
      <c r="AP198" s="10">
        <f t="shared" si="67"/>
        <v>2.0262708162792116</v>
      </c>
      <c r="AQ198" s="10">
        <f t="shared" si="68"/>
        <v>116.09676592332704</v>
      </c>
      <c r="AR198" s="10">
        <f t="shared" si="69"/>
        <v>-14.600044953467972</v>
      </c>
      <c r="AS198" s="10">
        <f t="shared" si="70"/>
        <v>-23.415219099630544</v>
      </c>
      <c r="AT198" s="10">
        <f t="shared" si="71"/>
        <v>266.66177336863245</v>
      </c>
    </row>
    <row r="199" spans="25:46" x14ac:dyDescent="0.25">
      <c r="Y199" s="10">
        <v>197</v>
      </c>
      <c r="Z199" s="10">
        <f t="shared" si="61"/>
        <v>812830.51616409956</v>
      </c>
      <c r="AA199" s="10" t="str">
        <f t="shared" si="62"/>
        <v>5107164.75638947i</v>
      </c>
      <c r="AB199" s="10">
        <f>$T$6/'5. Current Sense Resistor'!$B$11</f>
        <v>100</v>
      </c>
      <c r="AD199" s="10" t="str">
        <f t="shared" si="57"/>
        <v>0.00413913697597846-0.0000807101044037134i</v>
      </c>
      <c r="AE199" s="10" t="str">
        <f t="shared" si="58"/>
        <v>-3.97684604830892+2.57950337419377i</v>
      </c>
      <c r="AF199" s="10" t="str">
        <f t="shared" si="63"/>
        <v>-0.284134939505041+0.192270794677328i</v>
      </c>
      <c r="AG199" s="10">
        <f t="shared" si="64"/>
        <v>0.34307538870251902</v>
      </c>
      <c r="AH199" s="10">
        <f t="shared" si="54"/>
        <v>2.5466840360377869</v>
      </c>
      <c r="AI199" s="10">
        <f t="shared" si="55"/>
        <v>145.91424701830763</v>
      </c>
      <c r="AJ199" s="10">
        <f t="shared" si="56"/>
        <v>-9.2922087186820175</v>
      </c>
      <c r="AL199" s="10" t="str">
        <f t="shared" si="59"/>
        <v>0.00678549740240335-6.43925293166474E-06i</v>
      </c>
      <c r="AM199" s="10" t="str">
        <f t="shared" si="60"/>
        <v>0.0275707898726422-0.0532364890211147i</v>
      </c>
      <c r="AN199" s="10" t="str">
        <f t="shared" si="65"/>
        <v>-0.0806711269730493+0.156130672286317i</v>
      </c>
      <c r="AO199" s="10">
        <f t="shared" si="66"/>
        <v>0.17574019903163635</v>
      </c>
      <c r="AP199" s="10">
        <f t="shared" si="67"/>
        <v>2.0477064591824883</v>
      </c>
      <c r="AQ199" s="10">
        <f t="shared" si="68"/>
        <v>117.32493779283436</v>
      </c>
      <c r="AR199" s="10">
        <f t="shared" si="69"/>
        <v>-15.102577721629892</v>
      </c>
      <c r="AS199" s="10">
        <f t="shared" si="70"/>
        <v>-24.394786440311911</v>
      </c>
      <c r="AT199" s="10">
        <f t="shared" si="71"/>
        <v>263.23918481114197</v>
      </c>
    </row>
    <row r="200" spans="25:46" x14ac:dyDescent="0.25">
      <c r="Y200" s="10">
        <v>198</v>
      </c>
      <c r="Z200" s="10">
        <f t="shared" si="61"/>
        <v>870963.58995607914</v>
      </c>
      <c r="AA200" s="10" t="str">
        <f t="shared" si="62"/>
        <v>5472425.63150042i</v>
      </c>
      <c r="AB200" s="10">
        <f>$T$6/'5. Current Sense Resistor'!$B$11</f>
        <v>100</v>
      </c>
      <c r="AD200" s="10" t="str">
        <f t="shared" si="57"/>
        <v>0.00413913613192603-0.0000753230521163806i</v>
      </c>
      <c r="AE200" s="10" t="str">
        <f t="shared" si="58"/>
        <v>-3.55361443081622+2.7101912556083i</v>
      </c>
      <c r="AF200" s="10" t="str">
        <f t="shared" si="63"/>
        <v>-0.253579615600238+0.20079579782329i</v>
      </c>
      <c r="AG200" s="10">
        <f t="shared" si="64"/>
        <v>0.32345258365246676</v>
      </c>
      <c r="AH200" s="10">
        <f t="shared" si="54"/>
        <v>2.471843976779355</v>
      </c>
      <c r="AI200" s="10">
        <f t="shared" si="55"/>
        <v>141.6262274842905</v>
      </c>
      <c r="AJ200" s="10">
        <f t="shared" si="56"/>
        <v>-9.8037875096364608</v>
      </c>
      <c r="AL200" s="10" t="str">
        <f t="shared" si="59"/>
        <v>0.00678549739701643-6.00946049242834E-06i</v>
      </c>
      <c r="AM200" s="10" t="str">
        <f t="shared" si="60"/>
        <v>0.0271956952022365-0.0497023466092799i</v>
      </c>
      <c r="AN200" s="10" t="str">
        <f t="shared" si="65"/>
        <v>-0.0795906581975274+0.145764824399464i</v>
      </c>
      <c r="AO200" s="10">
        <f t="shared" si="66"/>
        <v>0.16607846610720553</v>
      </c>
      <c r="AP200" s="10">
        <f t="shared" si="67"/>
        <v>2.0705795273213763</v>
      </c>
      <c r="AQ200" s="10">
        <f t="shared" si="68"/>
        <v>118.6354680617078</v>
      </c>
      <c r="AR200" s="10">
        <f t="shared" si="69"/>
        <v>-15.59373349872482</v>
      </c>
      <c r="AS200" s="10">
        <f t="shared" si="70"/>
        <v>-25.397521008361281</v>
      </c>
      <c r="AT200" s="10">
        <f t="shared" si="71"/>
        <v>260.26169554599829</v>
      </c>
    </row>
    <row r="201" spans="25:46" x14ac:dyDescent="0.25">
      <c r="Y201" s="10">
        <v>199</v>
      </c>
      <c r="Z201" s="10">
        <f t="shared" si="61"/>
        <v>933254.30079698924</v>
      </c>
      <c r="AA201" s="10" t="str">
        <f t="shared" si="62"/>
        <v>5863809.7106298i</v>
      </c>
      <c r="AB201" s="10">
        <f>$T$6/'5. Current Sense Resistor'!$B$11</f>
        <v>100</v>
      </c>
      <c r="AD201" s="10" t="str">
        <f t="shared" si="57"/>
        <v>0.0041391353967871-0.00007029556238866i</v>
      </c>
      <c r="AE201" s="10" t="str">
        <f t="shared" si="58"/>
        <v>-3.15386960300201+2.77478989199745i</v>
      </c>
      <c r="AF201" s="10" t="str">
        <f t="shared" si="63"/>
        <v>-0.224811851305388+0.204666680035965i</v>
      </c>
      <c r="AG201" s="10">
        <f t="shared" si="64"/>
        <v>0.30402108217079282</v>
      </c>
      <c r="AH201" s="10">
        <f t="shared" si="54"/>
        <v>2.403066254232157</v>
      </c>
      <c r="AI201" s="10">
        <f t="shared" si="55"/>
        <v>137.68555425781432</v>
      </c>
      <c r="AJ201" s="10">
        <f t="shared" si="56"/>
        <v>-10.34192598881307</v>
      </c>
      <c r="AL201" s="10" t="str">
        <f t="shared" si="59"/>
        <v>0.00678549739232465-5.60835485005487E-06i</v>
      </c>
      <c r="AM201" s="10" t="str">
        <f t="shared" si="60"/>
        <v>0.0268687655519745-0.0464005172827952i</v>
      </c>
      <c r="AN201" s="10" t="str">
        <f t="shared" si="65"/>
        <v>-0.0786489298653992+0.136080552353697i</v>
      </c>
      <c r="AO201" s="10">
        <f t="shared" si="66"/>
        <v>0.15717369658393784</v>
      </c>
      <c r="AP201" s="10">
        <f t="shared" si="67"/>
        <v>2.0948512542245288</v>
      </c>
      <c r="AQ201" s="10">
        <f t="shared" si="68"/>
        <v>120.02613557475257</v>
      </c>
      <c r="AR201" s="10">
        <f t="shared" si="69"/>
        <v>-16.072402649935718</v>
      </c>
      <c r="AS201" s="10">
        <f t="shared" si="70"/>
        <v>-26.414328638748788</v>
      </c>
      <c r="AT201" s="10">
        <f t="shared" si="71"/>
        <v>257.71168983256689</v>
      </c>
    </row>
    <row r="202" spans="25:46" x14ac:dyDescent="0.25">
      <c r="Y202" s="10">
        <v>200</v>
      </c>
      <c r="Z202" s="10">
        <f t="shared" si="61"/>
        <v>999999.99999999953</v>
      </c>
      <c r="AA202" s="10" t="str">
        <f t="shared" si="62"/>
        <v>6283185.30717958i</v>
      </c>
      <c r="AB202" s="10">
        <f>$T$6/'5. Current Sense Resistor'!$B$11</f>
        <v>100</v>
      </c>
      <c r="AD202" s="10" t="str">
        <f t="shared" si="57"/>
        <v>0.00413913475650788-0.0000656036359683396i</v>
      </c>
      <c r="AE202" s="10" t="str">
        <f t="shared" si="58"/>
        <v>-2.78453760655932+2.78658054722781i</v>
      </c>
      <c r="AF202" s="10" t="str">
        <f t="shared" si="63"/>
        <v>-0.198300114900282+0.204837555704899i</v>
      </c>
      <c r="AG202" s="10">
        <f t="shared" si="64"/>
        <v>0.28509885969014792</v>
      </c>
      <c r="AH202" s="10">
        <f t="shared" si="54"/>
        <v>2.3399795137264969</v>
      </c>
      <c r="AI202" s="10">
        <f t="shared" si="55"/>
        <v>134.07095028360294</v>
      </c>
      <c r="AJ202" s="10">
        <f t="shared" si="56"/>
        <v>-10.90009039469237</v>
      </c>
      <c r="AL202" s="10" t="str">
        <f t="shared" si="59"/>
        <v>0.0067854973882382-5.23402128423088E-06i</v>
      </c>
      <c r="AM202" s="10" t="str">
        <f t="shared" si="60"/>
        <v>0.0265838426383567-0.0433161611319273i</v>
      </c>
      <c r="AN202" s="10" t="str">
        <f t="shared" si="65"/>
        <v>-0.0778282028996784+0.12703428228703i</v>
      </c>
      <c r="AO202" s="10">
        <f t="shared" si="66"/>
        <v>0.14897965647286993</v>
      </c>
      <c r="AP202" s="10">
        <f t="shared" si="67"/>
        <v>2.12046913105537</v>
      </c>
      <c r="AQ202" s="10">
        <f t="shared" si="68"/>
        <v>121.49393179724575</v>
      </c>
      <c r="AR202" s="10">
        <f t="shared" si="69"/>
        <v>-16.537460629710665</v>
      </c>
      <c r="AS202" s="10">
        <f t="shared" si="70"/>
        <v>-27.437551024403035</v>
      </c>
      <c r="AT202" s="10">
        <f t="shared" si="71"/>
        <v>255.56488208084869</v>
      </c>
    </row>
  </sheetData>
  <sheetProtection algorithmName="SHA-512" hashValue="IKnHX1NEVmyiRoFVN/YflmVhpK6Oa90U2RkODRs5X/7YD5meMtdB2zSXh2+AwBRy9cmPwL2mQ0LCcvlzaQK3cg==" saltValue="3dSvQF/w73b93fZm6rDcHg==" spinCount="100000" sheet="1" objects="1" scenarios="1" selectLockedCells="1"/>
  <customSheetViews>
    <customSheetView guid="{25ED444C-8CCE-464F-9E26-1EDA12EA830D}" scale="85">
      <selection activeCell="E7" sqref="E7"/>
      <pageMargins left="0.7" right="0.7" top="0.75" bottom="0.75" header="0.3" footer="0.3"/>
      <pageSetup orientation="portrait" r:id="rId1"/>
    </customSheetView>
  </customSheetViews>
  <conditionalFormatting sqref="E4">
    <cfRule type="notContainsBlanks" dxfId="0" priority="1">
      <formula>LEN(TRIM(E4))&gt;0</formula>
    </cfRule>
  </conditionalFormatting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F35" sqref="F35"/>
    </sheetView>
  </sheetViews>
  <sheetFormatPr defaultRowHeight="15" x14ac:dyDescent="0.25"/>
  <sheetData/>
  <customSheetViews>
    <customSheetView guid="{25ED444C-8CCE-464F-9E26-1EDA12EA830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3"/>
  <sheetViews>
    <sheetView topLeftCell="A4" workbookViewId="0">
      <selection activeCell="J45" sqref="J45"/>
    </sheetView>
  </sheetViews>
  <sheetFormatPr defaultRowHeight="15" x14ac:dyDescent="0.25"/>
  <sheetData>
    <row r="1" spans="1:4" hidden="1" x14ac:dyDescent="0.25">
      <c r="B1" t="s">
        <v>32</v>
      </c>
      <c r="C1" t="s">
        <v>65</v>
      </c>
      <c r="D1" t="s">
        <v>34</v>
      </c>
    </row>
    <row r="2" spans="1:4" hidden="1" x14ac:dyDescent="0.25">
      <c r="A2" t="s">
        <v>64</v>
      </c>
      <c r="B2">
        <f>1-Vin_max/Vout</f>
        <v>9.9999999999999978E-2</v>
      </c>
      <c r="C2">
        <f>1-Vin_nominal/Vout</f>
        <v>0.6</v>
      </c>
      <c r="D2">
        <f>1-Vin_min/Vout</f>
        <v>0.6</v>
      </c>
    </row>
    <row r="3" spans="1:4" hidden="1" x14ac:dyDescent="0.25">
      <c r="A3" t="s">
        <v>9</v>
      </c>
      <c r="C3">
        <f>1/('2. Design Parameters'!C7*1000)</f>
        <v>9.9999999999999995E-7</v>
      </c>
    </row>
  </sheetData>
  <sheetProtection password="F725" sheet="1" objects="1" scenarios="1"/>
  <customSheetViews>
    <customSheetView guid="{25ED444C-8CCE-464F-9E26-1EDA12EA830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18"/>
  <sheetViews>
    <sheetView workbookViewId="0">
      <selection activeCell="B2" sqref="B2"/>
    </sheetView>
  </sheetViews>
  <sheetFormatPr defaultRowHeight="15" x14ac:dyDescent="0.25"/>
  <cols>
    <col min="1" max="1" width="20.5703125" customWidth="1"/>
    <col min="2" max="2" width="13" customWidth="1"/>
    <col min="6" max="6" width="39" customWidth="1"/>
    <col min="8" max="8" width="12.28515625" bestFit="1" customWidth="1"/>
    <col min="10" max="10" width="14.5703125" bestFit="1" customWidth="1"/>
    <col min="11" max="11" width="15.85546875" bestFit="1" customWidth="1"/>
    <col min="12" max="12" width="15.85546875" customWidth="1"/>
    <col min="13" max="13" width="10.7109375" bestFit="1" customWidth="1"/>
  </cols>
  <sheetData>
    <row r="1" spans="1:16" x14ac:dyDescent="0.25">
      <c r="A1" t="s">
        <v>31</v>
      </c>
      <c r="H1" s="19" t="s">
        <v>135</v>
      </c>
      <c r="I1" s="19" t="s">
        <v>136</v>
      </c>
      <c r="J1" s="19" t="s">
        <v>137</v>
      </c>
      <c r="K1" s="19" t="s">
        <v>138</v>
      </c>
      <c r="L1" s="19" t="s">
        <v>143</v>
      </c>
      <c r="M1" s="19" t="s">
        <v>139</v>
      </c>
      <c r="N1" s="19"/>
      <c r="O1" s="19" t="s">
        <v>35</v>
      </c>
    </row>
    <row r="2" spans="1:16" x14ac:dyDescent="0.25">
      <c r="A2" t="s">
        <v>135</v>
      </c>
      <c r="B2" s="30" t="s">
        <v>140</v>
      </c>
      <c r="H2" s="19" t="s">
        <v>140</v>
      </c>
      <c r="I2" s="19">
        <v>0.18</v>
      </c>
      <c r="J2" s="19">
        <v>0.2</v>
      </c>
      <c r="K2" s="19">
        <v>0.22</v>
      </c>
      <c r="L2" s="19">
        <v>1000</v>
      </c>
      <c r="M2" s="19">
        <v>130</v>
      </c>
      <c r="N2" s="20">
        <v>0.84</v>
      </c>
      <c r="O2" s="21">
        <v>0.86499999999999999</v>
      </c>
      <c r="P2" s="22">
        <v>0.89</v>
      </c>
    </row>
    <row r="3" spans="1:16" x14ac:dyDescent="0.25">
      <c r="B3" t="s">
        <v>32</v>
      </c>
      <c r="C3" t="s">
        <v>33</v>
      </c>
      <c r="D3" t="s">
        <v>34</v>
      </c>
      <c r="E3" t="s">
        <v>36</v>
      </c>
      <c r="H3" s="19" t="s">
        <v>141</v>
      </c>
      <c r="I3" s="19">
        <v>0.18</v>
      </c>
      <c r="J3" s="19">
        <v>0.2</v>
      </c>
      <c r="K3" s="19">
        <v>0.22</v>
      </c>
      <c r="L3" s="19">
        <v>400</v>
      </c>
      <c r="M3" s="19">
        <v>30</v>
      </c>
      <c r="N3" s="23">
        <v>0.85</v>
      </c>
      <c r="O3" s="24">
        <v>0.875</v>
      </c>
      <c r="P3" s="25">
        <v>0.9</v>
      </c>
    </row>
    <row r="4" spans="1:16" x14ac:dyDescent="0.25">
      <c r="A4" t="s">
        <v>0</v>
      </c>
      <c r="B4" s="12">
        <v>4</v>
      </c>
      <c r="C4" s="12">
        <v>4</v>
      </c>
      <c r="D4" s="12">
        <v>9</v>
      </c>
      <c r="E4" t="s">
        <v>37</v>
      </c>
      <c r="H4" s="19" t="s">
        <v>142</v>
      </c>
      <c r="I4" s="19">
        <v>0.18</v>
      </c>
      <c r="J4" s="19">
        <v>0.2</v>
      </c>
      <c r="K4" s="19">
        <v>0.22</v>
      </c>
      <c r="L4" s="19">
        <v>400</v>
      </c>
      <c r="M4" s="19">
        <v>51</v>
      </c>
      <c r="N4" s="26">
        <v>0.9</v>
      </c>
      <c r="O4" s="27">
        <v>0.92500000000000004</v>
      </c>
      <c r="P4" s="28">
        <v>0.95</v>
      </c>
    </row>
    <row r="5" spans="1:16" x14ac:dyDescent="0.25">
      <c r="A5" t="s">
        <v>1</v>
      </c>
      <c r="B5" s="13"/>
      <c r="C5" s="12">
        <v>10</v>
      </c>
      <c r="D5" s="13"/>
      <c r="E5" t="s">
        <v>37</v>
      </c>
      <c r="F5" s="8"/>
    </row>
    <row r="6" spans="1:16" x14ac:dyDescent="0.25">
      <c r="A6" t="s">
        <v>2</v>
      </c>
      <c r="B6" s="13"/>
      <c r="C6" s="13"/>
      <c r="D6" s="12">
        <v>2</v>
      </c>
      <c r="E6" t="s">
        <v>38</v>
      </c>
    </row>
    <row r="7" spans="1:16" x14ac:dyDescent="0.25">
      <c r="A7" t="s">
        <v>8</v>
      </c>
      <c r="B7" s="12">
        <v>900</v>
      </c>
      <c r="C7" s="12">
        <v>1000</v>
      </c>
      <c r="D7" s="12">
        <v>1100</v>
      </c>
      <c r="E7" t="s">
        <v>46</v>
      </c>
    </row>
    <row r="8" spans="1:16" x14ac:dyDescent="0.25">
      <c r="A8" s="19" t="s">
        <v>6</v>
      </c>
      <c r="B8" s="15"/>
      <c r="C8" s="15">
        <f>VLOOKUP($B$2,$H$2:$N$4,6,FALSE)</f>
        <v>130</v>
      </c>
      <c r="D8" s="15"/>
      <c r="E8" s="19" t="s">
        <v>132</v>
      </c>
    </row>
    <row r="9" spans="1:16" x14ac:dyDescent="0.25">
      <c r="A9" s="19" t="s">
        <v>35</v>
      </c>
      <c r="B9" s="29">
        <f>VLOOKUP($B$2,$H$2:$P$4,7,FALSE)*100</f>
        <v>84</v>
      </c>
      <c r="C9" s="29">
        <f>VLOOKUP($B$2,$H$2:$P$4,8,FALSE)*100</f>
        <v>86.5</v>
      </c>
      <c r="D9" s="29">
        <f>VLOOKUP($B$2,$H$2:$P$4,9,FALSE)*100</f>
        <v>89</v>
      </c>
      <c r="E9" s="19" t="s">
        <v>39</v>
      </c>
      <c r="F9" s="8" t="str">
        <f>IF(Dconv_max*100&gt;Dmax_min,"Required Dmax is higher than device Dmax","")</f>
        <v/>
      </c>
    </row>
    <row r="10" spans="1:16" x14ac:dyDescent="0.25">
      <c r="A10" s="19" t="s">
        <v>40</v>
      </c>
      <c r="B10" s="15"/>
      <c r="C10" s="16">
        <v>6.3</v>
      </c>
      <c r="D10" s="15"/>
      <c r="E10" s="19" t="s">
        <v>37</v>
      </c>
    </row>
    <row r="11" spans="1:16" x14ac:dyDescent="0.25">
      <c r="A11" s="19" t="s">
        <v>44</v>
      </c>
      <c r="B11" s="15">
        <f>VLOOKUP($B$2,$H$2:$P$4,2,FALSE)</f>
        <v>0.18</v>
      </c>
      <c r="C11" s="15">
        <f>VLOOKUP($B$2,$H$2:$P$4,3,FALSE)</f>
        <v>0.2</v>
      </c>
      <c r="D11" s="15">
        <f>VLOOKUP($B$2,$H$2:$P$4,4,FALSE)</f>
        <v>0.22</v>
      </c>
      <c r="E11" s="19" t="s">
        <v>45</v>
      </c>
    </row>
    <row r="12" spans="1:16" x14ac:dyDescent="0.25">
      <c r="B12" s="17"/>
      <c r="C12" s="17"/>
      <c r="D12" s="17"/>
    </row>
    <row r="17" spans="6:6" x14ac:dyDescent="0.25">
      <c r="F17" s="14"/>
    </row>
    <row r="18" spans="6:6" x14ac:dyDescent="0.25">
      <c r="F18" s="14"/>
    </row>
  </sheetData>
  <sheetProtection algorithmName="SHA-512" hashValue="K7LlcEc8uau4qqym5UY0vINNXv9uDb9KkZRymjKAeTOv4KePZ9Ql6KHPK4SLa9wovVNZnE9aYG+UGWL3EjxPqA==" saltValue="UYOHdTrbPWjh4RWmZGJhyw==" spinCount="100000" sheet="1" objects="1" scenarios="1" selectLockedCells="1"/>
  <customSheetViews>
    <customSheetView guid="{25ED444C-8CCE-464F-9E26-1EDA12EA830D}">
      <selection activeCell="G32" sqref="G32"/>
      <pageMargins left="0.7" right="0.7" top="0.75" bottom="0.75" header="0.3" footer="0.3"/>
    </customSheetView>
  </customSheetViews>
  <conditionalFormatting sqref="F5 F9">
    <cfRule type="notContainsBlanks" dxfId="1" priority="3">
      <formula>LEN(TRIM(F5))&gt;0</formula>
    </cfRule>
  </conditionalFormatting>
  <dataValidations count="1">
    <dataValidation type="list" allowBlank="1" showInputMessage="1" showErrorMessage="1" sqref="B2">
      <formula1>$H$2:$H$5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10"/>
  <sheetViews>
    <sheetView zoomScale="190" zoomScaleNormal="190" workbookViewId="0">
      <selection activeCell="B7" sqref="B7"/>
    </sheetView>
  </sheetViews>
  <sheetFormatPr defaultRowHeight="15" x14ac:dyDescent="0.25"/>
  <cols>
    <col min="1" max="1" width="17" customWidth="1"/>
    <col min="3" max="3" width="9.7109375" customWidth="1"/>
    <col min="4" max="6" width="9.140625" hidden="1" customWidth="1"/>
  </cols>
  <sheetData>
    <row r="1" spans="1:6" x14ac:dyDescent="0.25">
      <c r="A1" t="s">
        <v>41</v>
      </c>
      <c r="F1" s="8">
        <v>1</v>
      </c>
    </row>
    <row r="7" spans="1:6" x14ac:dyDescent="0.25">
      <c r="A7" t="str">
        <f>IF(F1=1,"Rupper","Rlower")</f>
        <v>Rupper</v>
      </c>
      <c r="B7" s="2">
        <v>10000</v>
      </c>
      <c r="C7" s="1" t="s">
        <v>43</v>
      </c>
      <c r="D7" s="8">
        <f>IF(F1=1,B7,B9)</f>
        <v>10000</v>
      </c>
    </row>
    <row r="8" spans="1:6" x14ac:dyDescent="0.25">
      <c r="A8" t="str">
        <f>IF(F1=1,"Suggested Rlower","Suggested Rupper")</f>
        <v>Suggested Rlower</v>
      </c>
      <c r="B8" s="3">
        <f>IF(F1=1,B7/(Vout/0.2-1),B7*(Vout/0.2-1))</f>
        <v>204.08163265306123</v>
      </c>
      <c r="C8" s="1" t="s">
        <v>43</v>
      </c>
      <c r="D8" s="8">
        <f>IF(F1=1,B9,B7)</f>
        <v>205</v>
      </c>
    </row>
    <row r="9" spans="1:6" x14ac:dyDescent="0.25">
      <c r="A9" t="str">
        <f>IF(F1=1,"Rlower used","Rupper used")</f>
        <v>Rlower used</v>
      </c>
      <c r="B9" s="2">
        <v>205</v>
      </c>
      <c r="C9" s="1" t="s">
        <v>43</v>
      </c>
    </row>
    <row r="10" spans="1:6" x14ac:dyDescent="0.25">
      <c r="A10" t="s">
        <v>42</v>
      </c>
      <c r="B10" s="3">
        <f>IF(F1=1,0.2*(B7+B9)/B9,0.2*(B7+B9)/B7)</f>
        <v>9.9560975609756106</v>
      </c>
      <c r="C10" s="4" t="s">
        <v>37</v>
      </c>
    </row>
  </sheetData>
  <sheetProtection password="F725" sheet="1" objects="1" scenarios="1" selectLockedCells="1"/>
  <customSheetViews>
    <customSheetView guid="{25ED444C-8CCE-464F-9E26-1EDA12EA830D}" scale="190">
      <selection activeCell="A4" sqref="A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5" name="Option Button 7">
              <controlPr defaultSize="0" autoFill="0" autoLine="0" autoPict="0">
                <anchor moveWithCells="1">
                  <from>
                    <xdr:col>2</xdr:col>
                    <xdr:colOff>0</xdr:colOff>
                    <xdr:row>1</xdr:row>
                    <xdr:rowOff>95250</xdr:rowOff>
                  </from>
                  <to>
                    <xdr:col>7</xdr:col>
                    <xdr:colOff>47625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Option Button 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9525</xdr:rowOff>
                  </from>
                  <to>
                    <xdr:col>7</xdr:col>
                    <xdr:colOff>47625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E11"/>
  <sheetViews>
    <sheetView workbookViewId="0">
      <selection activeCell="B7" sqref="B7"/>
    </sheetView>
  </sheetViews>
  <sheetFormatPr defaultRowHeight="15" x14ac:dyDescent="0.25"/>
  <cols>
    <col min="1" max="1" width="49.28515625" customWidth="1"/>
  </cols>
  <sheetData>
    <row r="2" spans="1:5" x14ac:dyDescent="0.25">
      <c r="A2" t="s">
        <v>51</v>
      </c>
      <c r="B2" s="2">
        <v>90</v>
      </c>
      <c r="C2" t="s">
        <v>39</v>
      </c>
      <c r="D2" t="s">
        <v>56</v>
      </c>
      <c r="E2" s="3">
        <f>SQRT(B3^2+B8^2/3)</f>
        <v>5.6086353173884271</v>
      </c>
    </row>
    <row r="3" spans="1:5" x14ac:dyDescent="0.25">
      <c r="A3" t="s">
        <v>47</v>
      </c>
      <c r="B3" s="3">
        <f>Ioutmax*Vout/(Vin_min*B2/100)</f>
        <v>5.5555555555555554</v>
      </c>
      <c r="C3" t="s">
        <v>38</v>
      </c>
      <c r="D3" t="s">
        <v>57</v>
      </c>
      <c r="E3" s="3">
        <f>B8/2+B3</f>
        <v>6.2222222222222223</v>
      </c>
    </row>
    <row r="4" spans="1:5" x14ac:dyDescent="0.25">
      <c r="A4" t="s">
        <v>49</v>
      </c>
      <c r="B4" s="2">
        <v>30</v>
      </c>
      <c r="C4" t="s">
        <v>39</v>
      </c>
    </row>
    <row r="5" spans="1:5" x14ac:dyDescent="0.25">
      <c r="A5" t="s">
        <v>50</v>
      </c>
      <c r="B5" s="3">
        <f>B3*B4/100</f>
        <v>1.6666666666666665</v>
      </c>
      <c r="C5" t="s">
        <v>38</v>
      </c>
    </row>
    <row r="6" spans="1:5" x14ac:dyDescent="0.25">
      <c r="A6" t="s">
        <v>52</v>
      </c>
      <c r="B6" s="3">
        <f>B2/100*Vin_min^2*(1-Vin_min/Vout)/(B4/100*Fsw_min*1000*(Vout*Ioutmax))*1000000</f>
        <v>1.6</v>
      </c>
      <c r="C6" s="1" t="s">
        <v>53</v>
      </c>
    </row>
    <row r="7" spans="1:5" x14ac:dyDescent="0.25">
      <c r="A7" t="s">
        <v>54</v>
      </c>
      <c r="B7" s="2">
        <v>2</v>
      </c>
      <c r="C7" s="1" t="s">
        <v>53</v>
      </c>
    </row>
    <row r="8" spans="1:5" x14ac:dyDescent="0.25">
      <c r="A8" t="s">
        <v>55</v>
      </c>
      <c r="B8" s="3">
        <f>Vin_min*(1-Vin_min/Vout)/(Fsw_min*B7/1000)</f>
        <v>1.3333333333333333</v>
      </c>
      <c r="C8" s="4" t="s">
        <v>38</v>
      </c>
      <c r="D8" t="str">
        <f>IF(B8&gt;B5,"Inductor smaller than recommended, ripple is higher than requested","")</f>
        <v/>
      </c>
    </row>
    <row r="9" spans="1:5" x14ac:dyDescent="0.25">
      <c r="C9" s="4"/>
    </row>
    <row r="11" spans="1:5" s="5" customFormat="1" hidden="1" x14ac:dyDescent="0.25">
      <c r="A11" s="5" t="s">
        <v>3</v>
      </c>
      <c r="B11" s="8">
        <f>B7/1000000</f>
        <v>1.9999999999999999E-6</v>
      </c>
    </row>
  </sheetData>
  <sheetProtection password="F725" sheet="1" objects="1" scenarios="1" selectLockedCells="1"/>
  <customSheetViews>
    <customSheetView guid="{25ED444C-8CCE-464F-9E26-1EDA12EA830D}">
      <selection activeCell="B3" sqref="B3"/>
      <pageMargins left="0.7" right="0.7" top="0.75" bottom="0.75" header="0.3" footer="0.3"/>
    </customSheetView>
  </customSheetViews>
  <conditionalFormatting sqref="D8">
    <cfRule type="notContainsBlanks" priority="1">
      <formula>LEN(TRIM(D8))&gt;0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F11"/>
  <sheetViews>
    <sheetView workbookViewId="0">
      <selection activeCell="B4" sqref="B4"/>
    </sheetView>
  </sheetViews>
  <sheetFormatPr defaultRowHeight="15" x14ac:dyDescent="0.25"/>
  <cols>
    <col min="1" max="1" width="36.5703125" customWidth="1"/>
    <col min="4" max="4" width="45.7109375" customWidth="1"/>
  </cols>
  <sheetData>
    <row r="2" spans="1:6" x14ac:dyDescent="0.25">
      <c r="A2" t="s">
        <v>58</v>
      </c>
      <c r="B2" s="3">
        <f>IPeakL</f>
        <v>6.2222222222222223</v>
      </c>
      <c r="C2" t="s">
        <v>38</v>
      </c>
    </row>
    <row r="3" spans="1:6" x14ac:dyDescent="0.25">
      <c r="A3" t="s">
        <v>59</v>
      </c>
      <c r="B3" s="2">
        <v>7</v>
      </c>
      <c r="C3" t="s">
        <v>38</v>
      </c>
    </row>
    <row r="4" spans="1:6" x14ac:dyDescent="0.25">
      <c r="A4" t="s">
        <v>60</v>
      </c>
      <c r="B4" s="3">
        <f>vcl_min/B3</f>
        <v>2.5714285714285714E-2</v>
      </c>
      <c r="C4" t="s">
        <v>62</v>
      </c>
    </row>
    <row r="5" spans="1:6" x14ac:dyDescent="0.25">
      <c r="A5" t="s">
        <v>61</v>
      </c>
      <c r="B5" s="2">
        <v>50</v>
      </c>
      <c r="C5" t="s">
        <v>62</v>
      </c>
      <c r="D5" t="s">
        <v>63</v>
      </c>
      <c r="E5" s="3">
        <f>Dconv_max*IrmsL^2*B5/1000</f>
        <v>0.94370370370370349</v>
      </c>
      <c r="F5" t="s">
        <v>68</v>
      </c>
    </row>
    <row r="6" spans="1:6" x14ac:dyDescent="0.25">
      <c r="A6" t="s">
        <v>66</v>
      </c>
      <c r="B6" s="3">
        <f>vcl_min/B5</f>
        <v>3.5999999999999999E-3</v>
      </c>
      <c r="C6" t="s">
        <v>38</v>
      </c>
    </row>
    <row r="7" spans="1:6" x14ac:dyDescent="0.25">
      <c r="A7" t="s">
        <v>67</v>
      </c>
      <c r="B7" s="3">
        <f>vcl_max/B5</f>
        <v>4.4000000000000003E-3</v>
      </c>
      <c r="C7" t="s">
        <v>38</v>
      </c>
    </row>
    <row r="11" spans="1:6" hidden="1" x14ac:dyDescent="0.25">
      <c r="B11" s="6">
        <f>B5/1000</f>
        <v>0.05</v>
      </c>
    </row>
  </sheetData>
  <sheetProtection password="F725" sheet="1" objects="1" scenarios="1"/>
  <customSheetViews>
    <customSheetView guid="{25ED444C-8CCE-464F-9E26-1EDA12EA830D}">
      <selection activeCell="B8" sqref="B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C15"/>
  <sheetViews>
    <sheetView workbookViewId="0">
      <selection activeCell="B3" sqref="B3"/>
    </sheetView>
  </sheetViews>
  <sheetFormatPr defaultRowHeight="15" x14ac:dyDescent="0.25"/>
  <cols>
    <col min="1" max="1" width="29" customWidth="1"/>
    <col min="2" max="2" width="9.5703125" customWidth="1"/>
  </cols>
  <sheetData>
    <row r="2" spans="1:3" x14ac:dyDescent="0.25">
      <c r="A2" t="s">
        <v>69</v>
      </c>
      <c r="B2" s="2">
        <v>1000</v>
      </c>
      <c r="C2" s="1" t="s">
        <v>84</v>
      </c>
    </row>
    <row r="3" spans="1:3" x14ac:dyDescent="0.25">
      <c r="A3" t="s">
        <v>70</v>
      </c>
      <c r="B3" s="2">
        <v>10</v>
      </c>
      <c r="C3" t="s">
        <v>62</v>
      </c>
    </row>
    <row r="4" spans="1:3" x14ac:dyDescent="0.25">
      <c r="A4" t="s">
        <v>87</v>
      </c>
      <c r="B4" s="3">
        <f>Vin_min</f>
        <v>4</v>
      </c>
      <c r="C4" t="s">
        <v>37</v>
      </c>
    </row>
    <row r="5" spans="1:3" x14ac:dyDescent="0.25">
      <c r="A5" t="s">
        <v>82</v>
      </c>
      <c r="B5" s="3">
        <f>Ioutmax*Dconv_max/(B2*Fsw_min)+B3*(Ioutmax/(1-Dconv_max)+Iripple/2)</f>
        <v>56.666668000000001</v>
      </c>
      <c r="C5" t="s">
        <v>45</v>
      </c>
    </row>
    <row r="6" spans="1:3" x14ac:dyDescent="0.25">
      <c r="A6" t="s">
        <v>83</v>
      </c>
      <c r="B6" s="3">
        <f>Ioutmax*SQRT(Dconv_max/(1-Dconv_max)+Dconv_max/12*((1-Dconv_max)/(Lo/(Rout*Tsw)))^2)</f>
        <v>2.4899799195977463</v>
      </c>
      <c r="C6" t="s">
        <v>38</v>
      </c>
    </row>
    <row r="14" spans="1:3" hidden="1" x14ac:dyDescent="0.25">
      <c r="A14" t="s">
        <v>4</v>
      </c>
      <c r="C14" s="9">
        <f>B2*10^-6</f>
        <v>1E-3</v>
      </c>
    </row>
    <row r="15" spans="1:3" hidden="1" x14ac:dyDescent="0.25">
      <c r="A15" t="s">
        <v>5</v>
      </c>
      <c r="C15" s="9">
        <f>B3*10^-3</f>
        <v>0.01</v>
      </c>
    </row>
  </sheetData>
  <sheetProtection password="F725" sheet="1" objects="1" scenarios="1" selectLockedCells="1"/>
  <customSheetViews>
    <customSheetView guid="{25ED444C-8CCE-464F-9E26-1EDA12EA830D}">
      <selection activeCell="B5" sqref="B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C6"/>
  <sheetViews>
    <sheetView workbookViewId="0">
      <selection activeCell="B4" sqref="B4"/>
    </sheetView>
  </sheetViews>
  <sheetFormatPr defaultRowHeight="15" x14ac:dyDescent="0.25"/>
  <cols>
    <col min="1" max="1" width="26.7109375" customWidth="1"/>
  </cols>
  <sheetData>
    <row r="2" spans="1:3" x14ac:dyDescent="0.25">
      <c r="A2" t="s">
        <v>71</v>
      </c>
      <c r="B2" s="2"/>
      <c r="C2" s="1" t="s">
        <v>84</v>
      </c>
    </row>
    <row r="3" spans="1:3" x14ac:dyDescent="0.25">
      <c r="A3" t="s">
        <v>70</v>
      </c>
      <c r="B3" s="2"/>
      <c r="C3" t="s">
        <v>62</v>
      </c>
    </row>
    <row r="4" spans="1:3" x14ac:dyDescent="0.25">
      <c r="A4" t="s">
        <v>87</v>
      </c>
      <c r="B4" s="3"/>
      <c r="C4" t="s">
        <v>37</v>
      </c>
    </row>
    <row r="5" spans="1:3" x14ac:dyDescent="0.25">
      <c r="A5" t="s">
        <v>85</v>
      </c>
      <c r="B5" s="3"/>
      <c r="C5" t="s">
        <v>45</v>
      </c>
    </row>
    <row r="6" spans="1:3" x14ac:dyDescent="0.25">
      <c r="A6" t="s">
        <v>86</v>
      </c>
      <c r="B6" s="3"/>
      <c r="C6" t="s">
        <v>38</v>
      </c>
    </row>
  </sheetData>
  <customSheetViews>
    <customSheetView guid="{25ED444C-8CCE-464F-9E26-1EDA12EA830D}">
      <selection activeCell="A19" sqref="A1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5"/>
  <sheetViews>
    <sheetView workbookViewId="0">
      <selection activeCell="B1" sqref="B1"/>
    </sheetView>
  </sheetViews>
  <sheetFormatPr defaultRowHeight="15" x14ac:dyDescent="0.25"/>
  <cols>
    <col min="1" max="1" width="24" customWidth="1"/>
  </cols>
  <sheetData>
    <row r="1" spans="1:3" x14ac:dyDescent="0.25">
      <c r="A1" t="s">
        <v>78</v>
      </c>
      <c r="B1" s="2">
        <v>0.6</v>
      </c>
      <c r="C1" t="s">
        <v>37</v>
      </c>
    </row>
    <row r="2" spans="1:3" x14ac:dyDescent="0.25">
      <c r="A2" t="s">
        <v>80</v>
      </c>
      <c r="B2" s="3">
        <f>Vout</f>
        <v>10</v>
      </c>
      <c r="C2" t="s">
        <v>37</v>
      </c>
    </row>
    <row r="3" spans="1:3" x14ac:dyDescent="0.25">
      <c r="A3" t="s">
        <v>81</v>
      </c>
      <c r="B3" s="3">
        <f>Ioutmax</f>
        <v>2</v>
      </c>
      <c r="C3" t="s">
        <v>38</v>
      </c>
    </row>
    <row r="4" spans="1:3" x14ac:dyDescent="0.25">
      <c r="A4" t="s">
        <v>58</v>
      </c>
      <c r="B4" s="3">
        <f>IPeakL</f>
        <v>6.2222222222222223</v>
      </c>
      <c r="C4" t="s">
        <v>38</v>
      </c>
    </row>
    <row r="5" spans="1:3" x14ac:dyDescent="0.25">
      <c r="A5" t="s">
        <v>79</v>
      </c>
      <c r="B5" s="3">
        <f>B3*Vf</f>
        <v>1.2</v>
      </c>
      <c r="C5" t="s">
        <v>68</v>
      </c>
    </row>
  </sheetData>
  <sheetProtection password="F725" sheet="1" objects="1" scenarios="1" selectLockedCells="1"/>
  <customSheetViews>
    <customSheetView guid="{25ED444C-8CCE-464F-9E26-1EDA12EA830D}">
      <selection activeCell="B6" sqref="B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8"/>
  <sheetViews>
    <sheetView workbookViewId="0">
      <selection activeCell="B4" sqref="B4"/>
    </sheetView>
  </sheetViews>
  <sheetFormatPr defaultRowHeight="15" x14ac:dyDescent="0.25"/>
  <cols>
    <col min="1" max="1" width="21.28515625" customWidth="1"/>
  </cols>
  <sheetData>
    <row r="1" spans="1:4" x14ac:dyDescent="0.25">
      <c r="A1" t="s">
        <v>74</v>
      </c>
      <c r="B1" s="2">
        <v>50</v>
      </c>
      <c r="C1" t="s">
        <v>88</v>
      </c>
      <c r="D1" t="str">
        <f>IF(B1*10^-9*Fsw_max*10^3&gt;25*10^-3,"Gate Charge is higher than vdrv capability at this frequency", "")</f>
        <v>Gate Charge is higher than vdrv capability at this frequency</v>
      </c>
    </row>
    <row r="2" spans="1:4" x14ac:dyDescent="0.25">
      <c r="A2" t="s">
        <v>77</v>
      </c>
      <c r="B2" s="2">
        <v>100</v>
      </c>
      <c r="C2" t="s">
        <v>62</v>
      </c>
    </row>
    <row r="3" spans="1:4" x14ac:dyDescent="0.25">
      <c r="A3" t="s">
        <v>72</v>
      </c>
      <c r="B3" s="3">
        <f>MAX(Vout+Vf,Vin_max)</f>
        <v>10.6</v>
      </c>
      <c r="C3" t="s">
        <v>37</v>
      </c>
    </row>
    <row r="4" spans="1:4" x14ac:dyDescent="0.25">
      <c r="A4" t="s">
        <v>89</v>
      </c>
      <c r="B4" s="2">
        <v>50</v>
      </c>
      <c r="C4" t="s">
        <v>91</v>
      </c>
    </row>
    <row r="5" spans="1:4" x14ac:dyDescent="0.25">
      <c r="A5" t="s">
        <v>90</v>
      </c>
      <c r="B5" s="2">
        <v>50</v>
      </c>
      <c r="C5" t="s">
        <v>91</v>
      </c>
    </row>
    <row r="6" spans="1:4" x14ac:dyDescent="0.25">
      <c r="A6" t="s">
        <v>75</v>
      </c>
      <c r="B6" s="3">
        <f>(B4*10^-9*(IavgL-Iripple/2)+B5*10^-9*(IavgL+Iripple/2))*Fsw_min*10^3*Vin_max</f>
        <v>4.5</v>
      </c>
      <c r="C6" t="s">
        <v>68</v>
      </c>
    </row>
    <row r="7" spans="1:4" x14ac:dyDescent="0.25">
      <c r="A7" t="s">
        <v>76</v>
      </c>
      <c r="B7" s="3">
        <f>IrmsL^2*Dconv_max*B2*10^-3</f>
        <v>1.887407407407407</v>
      </c>
      <c r="C7" t="s">
        <v>68</v>
      </c>
    </row>
    <row r="8" spans="1:4" x14ac:dyDescent="0.25">
      <c r="A8" t="s">
        <v>73</v>
      </c>
      <c r="B8" s="3">
        <f>B7+B6</f>
        <v>6.387407407407407</v>
      </c>
      <c r="C8" t="s">
        <v>68</v>
      </c>
    </row>
  </sheetData>
  <sheetProtection password="F725" sheet="1" objects="1" scenarios="1" selectLockedCells="1"/>
  <customSheetViews>
    <customSheetView guid="{25ED444C-8CCE-464F-9E26-1EDA12EA830D}">
      <selection activeCell="B9" sqref="B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37</vt:i4>
      </vt:variant>
    </vt:vector>
  </HeadingPairs>
  <TitlesOfParts>
    <vt:vector size="49" baseType="lpstr">
      <vt:lpstr>1. Introduction</vt:lpstr>
      <vt:lpstr>2. Design Parameters</vt:lpstr>
      <vt:lpstr>3. Feedback Resistors</vt:lpstr>
      <vt:lpstr>4. Boost Inductor</vt:lpstr>
      <vt:lpstr>5. Current Sense Resistor</vt:lpstr>
      <vt:lpstr>6. Output Capacitors</vt:lpstr>
      <vt:lpstr>Input Capacitor</vt:lpstr>
      <vt:lpstr>7. Diode</vt:lpstr>
      <vt:lpstr>8. MOSFET</vt:lpstr>
      <vt:lpstr>9. Loop Compensation</vt:lpstr>
      <vt:lpstr>Design Information</vt:lpstr>
      <vt:lpstr>Calculations</vt:lpstr>
      <vt:lpstr>C0</vt:lpstr>
      <vt:lpstr>comp_C1</vt:lpstr>
      <vt:lpstr>comp_C2</vt:lpstr>
      <vt:lpstr>comp_R2</vt:lpstr>
      <vt:lpstr>Dconv_max</vt:lpstr>
      <vt:lpstr>Dmax_min</vt:lpstr>
      <vt:lpstr>Dmax_nom</vt:lpstr>
      <vt:lpstr>Fsw_max</vt:lpstr>
      <vt:lpstr>Fsw_min</vt:lpstr>
      <vt:lpstr>Fsw_nom</vt:lpstr>
      <vt:lpstr>gm</vt:lpstr>
      <vt:lpstr>IavgL</vt:lpstr>
      <vt:lpstr>Ioutmax</vt:lpstr>
      <vt:lpstr>IPeakL</vt:lpstr>
      <vt:lpstr>Iripple</vt:lpstr>
      <vt:lpstr>IrmsL</vt:lpstr>
      <vt:lpstr>Lo</vt:lpstr>
      <vt:lpstr>R0</vt:lpstr>
      <vt:lpstr>Rlower</vt:lpstr>
      <vt:lpstr>Rotaesd</vt:lpstr>
      <vt:lpstr>Rout</vt:lpstr>
      <vt:lpstr>Rupper</vt:lpstr>
      <vt:lpstr>SC_nom</vt:lpstr>
      <vt:lpstr>Tsw</vt:lpstr>
      <vt:lpstr>vcl_max</vt:lpstr>
      <vt:lpstr>vcl_min</vt:lpstr>
      <vt:lpstr>vcl_nom</vt:lpstr>
      <vt:lpstr>Vdrv_nom</vt:lpstr>
      <vt:lpstr>Vf</vt:lpstr>
      <vt:lpstr>Vin_max</vt:lpstr>
      <vt:lpstr>Vin_min</vt:lpstr>
      <vt:lpstr>Vin_nominal</vt:lpstr>
      <vt:lpstr>Vout</vt:lpstr>
      <vt:lpstr>wp1e</vt:lpstr>
      <vt:lpstr>wp2e</vt:lpstr>
      <vt:lpstr>wz1e</vt:lpstr>
      <vt:lpstr>wz2e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Laprade</dc:creator>
  <cp:lastModifiedBy>Alain Laprade</cp:lastModifiedBy>
  <dcterms:created xsi:type="dcterms:W3CDTF">2006-09-16T00:00:00Z</dcterms:created>
  <dcterms:modified xsi:type="dcterms:W3CDTF">2017-12-18T14:44:07Z</dcterms:modified>
</cp:coreProperties>
</file>